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<sst xmlns="http://schemas.openxmlformats.org/spreadsheetml/2006/main" count="2077" uniqueCount="236">
  <si>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</si>
  <si>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</si>
  <si>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</si>
  <si>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</si>
  <si>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</si>
  <si>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</si>
  <si>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</si>
  <si>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</si>
  <si>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</si>
  <si>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</si>
  <si>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</si>
  <si>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</si>
  <si>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</si>
  <si>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</si>
  <si>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</si>
  <si>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</si>
  <si>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</si>
  <si>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ТЯПКИНА Анна</t>
  </si>
  <si>
    <t>ТЯПКИНА Анна Алексеевна</t>
  </si>
  <si>
    <t>26.03.06, 2р</t>
  </si>
  <si>
    <t>2р</t>
  </si>
  <si>
    <t>ПФО</t>
  </si>
  <si>
    <t>Нижегородская, Павлово, МО</t>
  </si>
  <si>
    <t>Нижегородская</t>
  </si>
  <si>
    <t>Косов А.А</t>
  </si>
  <si>
    <t>МЕЛКОЗЕРОВА Алина</t>
  </si>
  <si>
    <t>МЕЛКОЗЕРОВА Алина Андреевна</t>
  </si>
  <si>
    <t>19.10.06, 1р</t>
  </si>
  <si>
    <t>1р</t>
  </si>
  <si>
    <t>УФО</t>
  </si>
  <si>
    <t>Свердловская, Сухой Лог, МС</t>
  </si>
  <si>
    <t>Свердловская</t>
  </si>
  <si>
    <t>Малых К.В.</t>
  </si>
  <si>
    <t>БЕЛОУСОВА Алёна</t>
  </si>
  <si>
    <t>БЕЛОУСОВА Алёна Романовна</t>
  </si>
  <si>
    <t>06.08.05, КМС</t>
  </si>
  <si>
    <t>КМС</t>
  </si>
  <si>
    <t>ЮФО</t>
  </si>
  <si>
    <t>Р.Крым, Керчь, ЮР</t>
  </si>
  <si>
    <t>Р.Крым</t>
  </si>
  <si>
    <t>Красов В.В.</t>
  </si>
  <si>
    <t>КИРЬЯНОВА  Ксения</t>
  </si>
  <si>
    <t xml:space="preserve">КИРЬЯНОВА  Ксения Сергеевна </t>
  </si>
  <si>
    <t>02.12.06, КМС</t>
  </si>
  <si>
    <t>МОС</t>
  </si>
  <si>
    <t>Москва, Москва, МС</t>
  </si>
  <si>
    <t>Москва</t>
  </si>
  <si>
    <t xml:space="preserve">Герасименко Д. В., Новосадов Е. Ф. </t>
  </si>
  <si>
    <t>ВОЛОВЛИКОВА Дарья</t>
  </si>
  <si>
    <t>ВОЛОВЛИКОВА Дарья Андреевна</t>
  </si>
  <si>
    <t>12.12.06, 1р</t>
  </si>
  <si>
    <t>ЦФО</t>
  </si>
  <si>
    <t>Рязанская, Рязань, Д</t>
  </si>
  <si>
    <t>Рязанская</t>
  </si>
  <si>
    <t>Богодаев В.А., Шабанов В.Ю.</t>
  </si>
  <si>
    <t>ТУРКИНА Варвара</t>
  </si>
  <si>
    <t>ТУРКИНА Варвара Владимировна</t>
  </si>
  <si>
    <t>13.06.06, 1р</t>
  </si>
  <si>
    <t>Оренбургская, г. Соль-Илецк, Оренбургская обл., МО</t>
  </si>
  <si>
    <t>Оренбургская</t>
  </si>
  <si>
    <t>Султанов Ф.Н.</t>
  </si>
  <si>
    <t>КРУХ Юлия</t>
  </si>
  <si>
    <t>КРУХ Юлия Богдановна</t>
  </si>
  <si>
    <t>31.07.04, 2р</t>
  </si>
  <si>
    <t>ДВФО</t>
  </si>
  <si>
    <t>Еврейская АО, село Ленинское, МО</t>
  </si>
  <si>
    <t>Еврейская АО</t>
  </si>
  <si>
    <t xml:space="preserve">Куликов В. Ю. </t>
  </si>
  <si>
    <t>МИСИКОВА Элина</t>
  </si>
  <si>
    <t>МИСИКОВА Элина Аслановна</t>
  </si>
  <si>
    <t>03.10.06, 1р</t>
  </si>
  <si>
    <t>СКФО</t>
  </si>
  <si>
    <t>Ставропольский, село Нины, МО</t>
  </si>
  <si>
    <t>Ставропольский</t>
  </si>
  <si>
    <t>Данилейченко И.П.</t>
  </si>
  <si>
    <t>ПОВАЛИХИНА  Ксения</t>
  </si>
  <si>
    <t>ПОВАЛИХИНА  Ксения Дмитриевна</t>
  </si>
  <si>
    <t>17.08.05, КМС</t>
  </si>
  <si>
    <t>Московская, Богородский городской округ, ЮР</t>
  </si>
  <si>
    <t>Московская</t>
  </si>
  <si>
    <t xml:space="preserve">Ефимов Д.И Савельев А.Н </t>
  </si>
  <si>
    <t>80+</t>
  </si>
  <si>
    <t>98+</t>
  </si>
  <si>
    <t>ЧЕРНЕЦОВА Александра</t>
  </si>
  <si>
    <t>ЧЕРНЕЦОВА Александра Евгеньевна</t>
  </si>
  <si>
    <t>29.01.05, КМС</t>
  </si>
  <si>
    <t>СФО</t>
  </si>
  <si>
    <t>Алтайский, Зональный район, МО</t>
  </si>
  <si>
    <t>Алтайский</t>
  </si>
  <si>
    <t>Шуликов Е.С.</t>
  </si>
  <si>
    <t>&lt;3</t>
  </si>
  <si>
    <t>ЗАИКИНА Анастасия</t>
  </si>
  <si>
    <t>ЗАИКИНА Анастасия Игоревна</t>
  </si>
  <si>
    <t>14.10.04, 1р</t>
  </si>
  <si>
    <t>Приморский, Владивосток г., МС</t>
  </si>
  <si>
    <t>Приморский</t>
  </si>
  <si>
    <t>Фалеева Н.А., Мызгина И.С.</t>
  </si>
  <si>
    <t>ФИЛИППОВА Валерия</t>
  </si>
  <si>
    <t>ФИЛИППОВА Валерия Ивановна</t>
  </si>
  <si>
    <t>12.12.04, 1р</t>
  </si>
  <si>
    <t>ХМАО-Югра, Нижневартовск , МО</t>
  </si>
  <si>
    <t>ХМАО-Югра</t>
  </si>
  <si>
    <t>Воробьев В. В.</t>
  </si>
  <si>
    <t>БЕЛАШ софия</t>
  </si>
  <si>
    <t>БЕЛАШ София Сергеевна</t>
  </si>
  <si>
    <t>15.07.06, КМС</t>
  </si>
  <si>
    <t>Р.Башкортостан, стерлитамак, МО</t>
  </si>
  <si>
    <t>Р.Башкортостан</t>
  </si>
  <si>
    <t>зубков юв</t>
  </si>
  <si>
    <t>ТАРАСОВА Аврора</t>
  </si>
  <si>
    <t>ТАРАСОВА Аврора Александровна</t>
  </si>
  <si>
    <t>01.11.05, 1р</t>
  </si>
  <si>
    <t>Московская, Орехово-Зуево, МО</t>
  </si>
  <si>
    <t>Манохин Н.С, Сёмин Н.А.</t>
  </si>
  <si>
    <t>БОБРИКОВА Елизавета</t>
  </si>
  <si>
    <t>БОБРИКОВА Елизавета Александровна</t>
  </si>
  <si>
    <t>10.11.05, КМС</t>
  </si>
  <si>
    <t>Тверская, Торжок, МО</t>
  </si>
  <si>
    <t>Тверская</t>
  </si>
  <si>
    <t xml:space="preserve">Чекменкин Андрей Викторович </t>
  </si>
  <si>
    <t>КАПУСТЯН Виктория</t>
  </si>
  <si>
    <t>КАПУСТЯН Виктория Михайловна</t>
  </si>
  <si>
    <t>09.09.05, 2р</t>
  </si>
  <si>
    <t>Хабаровский, Хабаровск, МС</t>
  </si>
  <si>
    <t>Хабаровский</t>
  </si>
  <si>
    <t>Селезнев Е.И.</t>
  </si>
  <si>
    <t>ТЕПУКОВА Камила</t>
  </si>
  <si>
    <t>ТЕПУКОВА Камила Алексеевна</t>
  </si>
  <si>
    <t>20.03.04, КМС</t>
  </si>
  <si>
    <t>Р.Алтай, Онгудай, МО</t>
  </si>
  <si>
    <t>Р.Алтай</t>
  </si>
  <si>
    <t>Чийбунова Т.С.</t>
  </si>
  <si>
    <t>ЕРОШКИНА  Лилия</t>
  </si>
  <si>
    <t xml:space="preserve">ЕРОШКИНА  Лилия Владимировна </t>
  </si>
  <si>
    <t>23.05.04, 2р</t>
  </si>
  <si>
    <t>ХМАО-Югра, Нижневартовск, МО</t>
  </si>
  <si>
    <t>Калачей А.Ю.</t>
  </si>
  <si>
    <t xml:space="preserve">АЙТУГАНОВА Тамаша </t>
  </si>
  <si>
    <t>АЙТУГАНОВА Тамаша  Эриковна</t>
  </si>
  <si>
    <t>09.12.05, КМС</t>
  </si>
  <si>
    <t>Оренбургская, Орск, ВС</t>
  </si>
  <si>
    <t>Ашкрумов Алик Рашитович, Султангалеев Кайрат Исламгалатович</t>
  </si>
  <si>
    <t>КРАСИКОВА  Ника</t>
  </si>
  <si>
    <t>КРАСИКОВА  Ника Александровна</t>
  </si>
  <si>
    <t>24.02.06, 2р</t>
  </si>
  <si>
    <t>СЗФО</t>
  </si>
  <si>
    <t>Архангельская, Няндома , ВС</t>
  </si>
  <si>
    <t>Архангельская</t>
  </si>
  <si>
    <t>Шарапов Р.Р.</t>
  </si>
  <si>
    <t>КАЗАНКОВА Фаина</t>
  </si>
  <si>
    <t>КАЗАНКОВА Фаина Сергеевна</t>
  </si>
  <si>
    <t>14.07.05, 1р</t>
  </si>
  <si>
    <t xml:space="preserve">ЗУЕВА Наталья </t>
  </si>
  <si>
    <t>ЗУЕВА Наталья  Павловна</t>
  </si>
  <si>
    <t>28.04.04, КМС</t>
  </si>
  <si>
    <t>Краснодарский, Лабинск, ВС</t>
  </si>
  <si>
    <t>Краснодарский</t>
  </si>
  <si>
    <t>Михаелян Э.Г</t>
  </si>
  <si>
    <t>БУКРЕЕВА Юлия</t>
  </si>
  <si>
    <t>БУКРЕЕВА Юлия Сергеевна</t>
  </si>
  <si>
    <t>01.01.05, КМС</t>
  </si>
  <si>
    <t>Новосибирская, Новосибирск , МС</t>
  </si>
  <si>
    <t>Новосибирская</t>
  </si>
  <si>
    <t>Сабитова Л.Б.</t>
  </si>
  <si>
    <t>БУРДИНА Анастасия</t>
  </si>
  <si>
    <t>БУРДИНА Анастасия Владиславовна</t>
  </si>
  <si>
    <t>09.07.04, КМС</t>
  </si>
  <si>
    <t>Пермский, Пермь, ВС</t>
  </si>
  <si>
    <t>Пермский</t>
  </si>
  <si>
    <t>Конкин Сергей Александрович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</si>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</sst>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shrinkToFit="0" wrapText="0"/>
    </xf>
    <xf borderId="0" fillId="0" fontId="16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6" fontId="6" numFmtId="0" xfId="0" applyAlignment="1" applyBorder="1" applyFill="1" applyFont="1">
      <alignment horizontal="center" vertical="bottom"/>
    </xf>
    <xf borderId="0" fillId="0" fontId="6" numFmtId="0" xfId="0" applyAlignment="1" applyFont="1">
      <alignment readingOrder="0" shrinkToFit="0" vertical="bottom" wrapText="0"/>
    </xf>
    <xf borderId="7" fillId="0" fontId="6" numFmtId="0" xfId="0" applyAlignment="1" applyBorder="1" applyFont="1">
      <alignment readingOrder="0" vertical="bottom"/>
    </xf>
    <xf borderId="0" fillId="0" fontId="6" numFmtId="0" xfId="0" applyAlignment="1" applyFont="1">
      <alignment shrinkToFit="0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45" fillId="0" fontId="3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3" xfId="0" applyFont="1" applyNumberForma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.43"/>
    <col customWidth="1" hidden="1" min="2" max="2" width="4.43"/>
    <col customWidth="1" min="3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44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Европы)")</f>
        <v>Первенство России среди юношей и девушек 16-18 лет (отбор на первенство мира и Европы)</v>
      </c>
      <c r="N2" s="6"/>
      <c r="O2" s="8">
        <v>44.0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24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44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44.0</v>
      </c>
      <c r="B6" s="26">
        <v>44.0</v>
      </c>
      <c r="C6" s="27">
        <v>4.0</v>
      </c>
      <c r="D6" s="27">
        <v>1.0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6"/>
      <c r="M6" s="28" t="s">
        <v>24</v>
      </c>
      <c r="N6" s="29">
        <v>44.0</v>
      </c>
      <c r="O6" s="30" t="str">
        <f t="shared" ref="O6:O7" si="1">IFERROR(LEFT(E6,FIND(" ",E6)-1))</f>
        <v>ТЯПКИНА</v>
      </c>
      <c r="P6" s="31"/>
      <c r="Q6" s="6"/>
    </row>
    <row r="7">
      <c r="A7" s="25">
        <v>44.0</v>
      </c>
      <c r="B7" s="32">
        <v>44.0</v>
      </c>
      <c r="C7" s="33">
        <v>24.0</v>
      </c>
      <c r="D7" s="33">
        <v>2.0</v>
      </c>
      <c r="E7" s="33" t="s">
        <v>25</v>
      </c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2"/>
      <c r="M7" s="34" t="s">
        <v>32</v>
      </c>
      <c r="N7" s="29">
        <v>47.0</v>
      </c>
      <c r="O7" s="30" t="str">
        <f t="shared" si="1"/>
        <v>МЕЛКОЗЕРОВА</v>
      </c>
      <c r="P7" s="6"/>
      <c r="Q7" s="6"/>
    </row>
    <row r="8">
      <c r="A8" s="25">
        <v>44.0</v>
      </c>
      <c r="B8" s="32">
        <v>44.0</v>
      </c>
      <c r="C8" s="33">
        <v>19.0</v>
      </c>
      <c r="D8" s="33">
        <v>3.0</v>
      </c>
      <c r="E8" s="33" t="s">
        <v>33</v>
      </c>
      <c r="F8" s="33" t="s">
        <v>34</v>
      </c>
      <c r="G8" s="33" t="s">
        <v>35</v>
      </c>
      <c r="H8" s="33" t="s">
        <v>36</v>
      </c>
      <c r="I8" s="33" t="s">
        <v>37</v>
      </c>
      <c r="J8" s="33" t="s">
        <v>38</v>
      </c>
      <c r="K8" s="33" t="s">
        <v>39</v>
      </c>
      <c r="L8" s="32"/>
      <c r="M8" s="28" t="s">
        <v>40</v>
      </c>
      <c r="N8" s="29">
        <v>50.0</v>
      </c>
      <c r="O8" s="35">
        <v>58.0</v>
      </c>
      <c r="P8" s="6"/>
      <c r="Q8" s="6"/>
    </row>
    <row r="9">
      <c r="A9" s="25">
        <v>44.0</v>
      </c>
      <c r="B9" s="36">
        <v>44.0</v>
      </c>
      <c r="C9" s="33">
        <v>44.0</v>
      </c>
      <c r="D9" s="33">
        <v>4.0</v>
      </c>
      <c r="E9" s="33" t="s">
        <v>41</v>
      </c>
      <c r="F9" s="33" t="s">
        <v>42</v>
      </c>
      <c r="G9" s="33" t="s">
        <v>43</v>
      </c>
      <c r="H9" s="33" t="s">
        <v>36</v>
      </c>
      <c r="I9" s="33" t="s">
        <v>44</v>
      </c>
      <c r="J9" s="33" t="s">
        <v>45</v>
      </c>
      <c r="K9" s="33" t="s">
        <v>46</v>
      </c>
      <c r="L9" s="32"/>
      <c r="M9" s="28" t="s">
        <v>47</v>
      </c>
      <c r="N9" s="29">
        <v>54.0</v>
      </c>
      <c r="O9" s="35">
        <v>64.0</v>
      </c>
      <c r="P9" s="6"/>
      <c r="Q9" s="6"/>
    </row>
    <row r="10">
      <c r="A10" s="25">
        <v>44.0</v>
      </c>
      <c r="B10" s="32">
        <v>44.0</v>
      </c>
      <c r="C10" s="33">
        <v>39.0</v>
      </c>
      <c r="D10" s="33">
        <v>5.0</v>
      </c>
      <c r="E10" s="33" t="s">
        <v>48</v>
      </c>
      <c r="F10" s="33" t="s">
        <v>49</v>
      </c>
      <c r="G10" s="33" t="s">
        <v>50</v>
      </c>
      <c r="H10" s="33" t="s">
        <v>28</v>
      </c>
      <c r="I10" s="33" t="s">
        <v>51</v>
      </c>
      <c r="J10" s="33" t="s">
        <v>52</v>
      </c>
      <c r="K10" s="33" t="s">
        <v>53</v>
      </c>
      <c r="L10" s="32"/>
      <c r="M10" s="28" t="s">
        <v>54</v>
      </c>
      <c r="N10" s="29">
        <v>59.0</v>
      </c>
      <c r="O10" s="35">
        <v>71.0</v>
      </c>
      <c r="P10" s="6"/>
      <c r="Q10" s="6"/>
    </row>
    <row r="11">
      <c r="A11" s="25">
        <v>44.0</v>
      </c>
      <c r="B11" s="32">
        <v>44.0</v>
      </c>
      <c r="C11" s="33">
        <v>30.0</v>
      </c>
      <c r="D11" s="33">
        <v>6.0</v>
      </c>
      <c r="E11" s="33" t="s">
        <v>55</v>
      </c>
      <c r="F11" s="33" t="s">
        <v>56</v>
      </c>
      <c r="G11" s="33" t="s">
        <v>57</v>
      </c>
      <c r="H11" s="33" t="s">
        <v>28</v>
      </c>
      <c r="I11" s="33" t="s">
        <v>21</v>
      </c>
      <c r="J11" s="33" t="s">
        <v>58</v>
      </c>
      <c r="K11" s="33" t="s">
        <v>59</v>
      </c>
      <c r="L11" s="32"/>
      <c r="M11" s="28" t="s">
        <v>60</v>
      </c>
      <c r="N11" s="29">
        <v>65.0</v>
      </c>
      <c r="O11" s="35">
        <v>79.0</v>
      </c>
      <c r="P11" s="6"/>
      <c r="Q11" s="6"/>
    </row>
    <row r="12">
      <c r="A12" s="25">
        <v>44.0</v>
      </c>
      <c r="B12" s="37">
        <v>44.0</v>
      </c>
      <c r="C12" s="33">
        <v>10.0</v>
      </c>
      <c r="D12" s="33">
        <v>7.0</v>
      </c>
      <c r="E12" s="33" t="s">
        <v>61</v>
      </c>
      <c r="F12" s="33" t="s">
        <v>62</v>
      </c>
      <c r="G12" s="33" t="s">
        <v>63</v>
      </c>
      <c r="H12" s="33" t="s">
        <v>20</v>
      </c>
      <c r="I12" s="33" t="s">
        <v>64</v>
      </c>
      <c r="J12" s="33" t="s">
        <v>65</v>
      </c>
      <c r="K12" s="33" t="s">
        <v>66</v>
      </c>
      <c r="L12" s="32"/>
      <c r="M12" s="28" t="s">
        <v>67</v>
      </c>
      <c r="N12" s="29">
        <v>72.0</v>
      </c>
      <c r="O12" s="35">
        <v>88.0</v>
      </c>
      <c r="P12" s="6"/>
      <c r="Q12" s="6"/>
    </row>
    <row r="13">
      <c r="A13" s="25">
        <v>44.0</v>
      </c>
      <c r="B13" s="36">
        <v>44.0</v>
      </c>
      <c r="C13" s="33">
        <v>34.0</v>
      </c>
      <c r="D13" s="33">
        <v>8.0</v>
      </c>
      <c r="E13" s="33" t="s">
        <v>68</v>
      </c>
      <c r="F13" s="33" t="s">
        <v>69</v>
      </c>
      <c r="G13" s="33" t="s">
        <v>70</v>
      </c>
      <c r="H13" s="33" t="s">
        <v>28</v>
      </c>
      <c r="I13" s="33" t="s">
        <v>71</v>
      </c>
      <c r="J13" s="33" t="s">
        <v>72</v>
      </c>
      <c r="K13" s="33" t="s">
        <v>73</v>
      </c>
      <c r="L13" s="32"/>
      <c r="M13" s="28" t="s">
        <v>74</v>
      </c>
      <c r="N13" s="29">
        <v>80.0</v>
      </c>
      <c r="O13" s="35">
        <v>98.0</v>
      </c>
      <c r="P13" s="6"/>
      <c r="Q13" s="6"/>
    </row>
    <row r="14">
      <c r="A14" s="25">
        <v>44.0</v>
      </c>
      <c r="B14" s="32">
        <v>44.0</v>
      </c>
      <c r="C14" s="33">
        <v>42.0</v>
      </c>
      <c r="D14" s="33">
        <v>9.0</v>
      </c>
      <c r="E14" s="33" t="s">
        <v>75</v>
      </c>
      <c r="F14" s="33" t="s">
        <v>76</v>
      </c>
      <c r="G14" s="33" t="s">
        <v>77</v>
      </c>
      <c r="H14" s="33" t="s">
        <v>36</v>
      </c>
      <c r="I14" s="33" t="s">
        <v>51</v>
      </c>
      <c r="J14" s="33" t="s">
        <v>78</v>
      </c>
      <c r="K14" s="33" t="s">
        <v>79</v>
      </c>
      <c r="L14" s="32"/>
      <c r="M14" s="28" t="s">
        <v>80</v>
      </c>
      <c r="N14" s="29" t="s">
        <v>81</v>
      </c>
      <c r="O14" s="35" t="s">
        <v>82</v>
      </c>
      <c r="P14" s="6"/>
      <c r="Q14" s="6"/>
    </row>
    <row r="15">
      <c r="A15" s="25">
        <v>44.0</v>
      </c>
      <c r="B15" s="32">
        <v>44.0</v>
      </c>
      <c r="C15" s="33">
        <v>47.0</v>
      </c>
      <c r="D15" s="33">
        <v>10.0</v>
      </c>
      <c r="E15" s="33" t="s">
        <v>83</v>
      </c>
      <c r="F15" s="33" t="s">
        <v>84</v>
      </c>
      <c r="G15" s="33" t="s">
        <v>85</v>
      </c>
      <c r="H15" s="33" t="s">
        <v>36</v>
      </c>
      <c r="I15" s="33" t="s">
        <v>86</v>
      </c>
      <c r="J15" s="33" t="s">
        <v>87</v>
      </c>
      <c r="K15" s="33" t="s">
        <v>88</v>
      </c>
      <c r="L15" s="32"/>
      <c r="M15" s="28" t="s">
        <v>89</v>
      </c>
      <c r="N15" s="29" t="s">
        <v>90</v>
      </c>
      <c r="O15" s="30"/>
      <c r="P15" s="6"/>
      <c r="Q15" s="6"/>
    </row>
    <row r="16">
      <c r="A16" s="25">
        <v>44.0</v>
      </c>
      <c r="B16" s="36">
        <v>44.0</v>
      </c>
      <c r="C16" s="33">
        <v>14.0</v>
      </c>
      <c r="D16" s="33">
        <v>11.0</v>
      </c>
      <c r="E16" s="33" t="s">
        <v>91</v>
      </c>
      <c r="F16" s="33" t="s">
        <v>92</v>
      </c>
      <c r="G16" s="33" t="s">
        <v>93</v>
      </c>
      <c r="H16" s="33" t="s">
        <v>28</v>
      </c>
      <c r="I16" s="33" t="s">
        <v>64</v>
      </c>
      <c r="J16" s="33" t="s">
        <v>94</v>
      </c>
      <c r="K16" s="33" t="s">
        <v>95</v>
      </c>
      <c r="L16" s="32"/>
      <c r="M16" s="28" t="s">
        <v>96</v>
      </c>
      <c r="N16" s="6"/>
      <c r="O16" s="30"/>
      <c r="P16" s="6"/>
      <c r="Q16" s="6"/>
    </row>
    <row r="17">
      <c r="A17" s="25">
        <v>44.0</v>
      </c>
      <c r="B17" s="32">
        <v>44.0</v>
      </c>
      <c r="C17" s="33">
        <v>36.0</v>
      </c>
      <c r="D17" s="33">
        <v>12.0</v>
      </c>
      <c r="E17" s="33" t="s">
        <v>97</v>
      </c>
      <c r="F17" s="33" t="s">
        <v>98</v>
      </c>
      <c r="G17" s="33" t="s">
        <v>99</v>
      </c>
      <c r="H17" s="33" t="s">
        <v>28</v>
      </c>
      <c r="I17" s="33" t="s">
        <v>29</v>
      </c>
      <c r="J17" s="33" t="s">
        <v>100</v>
      </c>
      <c r="K17" s="33" t="s">
        <v>101</v>
      </c>
      <c r="L17" s="32"/>
      <c r="M17" s="28" t="s">
        <v>102</v>
      </c>
      <c r="N17" s="6"/>
      <c r="O17" s="30"/>
      <c r="P17" s="6"/>
      <c r="Q17" s="6"/>
    </row>
    <row r="18">
      <c r="A18" s="25">
        <v>44.0</v>
      </c>
      <c r="B18" s="32">
        <v>44.0</v>
      </c>
      <c r="C18" s="33">
        <v>9.0</v>
      </c>
      <c r="D18" s="33">
        <v>13.0</v>
      </c>
      <c r="E18" s="33" t="s">
        <v>103</v>
      </c>
      <c r="F18" s="33" t="s">
        <v>104</v>
      </c>
      <c r="G18" s="33" t="s">
        <v>105</v>
      </c>
      <c r="H18" s="33" t="s">
        <v>36</v>
      </c>
      <c r="I18" s="33" t="s">
        <v>21</v>
      </c>
      <c r="J18" s="33" t="s">
        <v>106</v>
      </c>
      <c r="K18" s="33" t="s">
        <v>107</v>
      </c>
      <c r="L18" s="32"/>
      <c r="M18" s="28" t="s">
        <v>108</v>
      </c>
      <c r="N18" s="6"/>
      <c r="O18" s="30"/>
      <c r="P18" s="6"/>
      <c r="Q18" s="6"/>
    </row>
    <row r="19">
      <c r="A19" s="25">
        <v>44.0</v>
      </c>
      <c r="B19" s="32">
        <v>44.0</v>
      </c>
      <c r="C19" s="33">
        <v>42.0</v>
      </c>
      <c r="D19" s="33">
        <v>14.0</v>
      </c>
      <c r="E19" s="33" t="s">
        <v>109</v>
      </c>
      <c r="F19" s="33" t="s">
        <v>110</v>
      </c>
      <c r="G19" s="33" t="s">
        <v>111</v>
      </c>
      <c r="H19" s="33" t="s">
        <v>28</v>
      </c>
      <c r="I19" s="33" t="s">
        <v>51</v>
      </c>
      <c r="J19" s="33" t="s">
        <v>112</v>
      </c>
      <c r="K19" s="33" t="s">
        <v>79</v>
      </c>
      <c r="L19" s="32"/>
      <c r="M19" s="28" t="s">
        <v>113</v>
      </c>
      <c r="N19" s="6"/>
      <c r="O19" s="30"/>
      <c r="P19" s="6"/>
      <c r="Q19" s="6"/>
    </row>
    <row r="20">
      <c r="A20" s="25">
        <v>44.0</v>
      </c>
      <c r="B20" s="32">
        <v>44.0</v>
      </c>
      <c r="C20" s="33">
        <v>12.0</v>
      </c>
      <c r="D20" s="33">
        <v>15.0</v>
      </c>
      <c r="E20" s="33" t="s">
        <v>114</v>
      </c>
      <c r="F20" s="33" t="s">
        <v>115</v>
      </c>
      <c r="G20" s="33" t="s">
        <v>116</v>
      </c>
      <c r="H20" s="33" t="s">
        <v>36</v>
      </c>
      <c r="I20" s="33" t="s">
        <v>51</v>
      </c>
      <c r="J20" s="33" t="s">
        <v>117</v>
      </c>
      <c r="K20" s="33" t="s">
        <v>118</v>
      </c>
      <c r="L20" s="32"/>
      <c r="M20" s="28" t="s">
        <v>119</v>
      </c>
      <c r="N20" s="6"/>
      <c r="O20" s="30"/>
      <c r="P20" s="6"/>
      <c r="Q20" s="6"/>
    </row>
    <row r="21">
      <c r="A21" s="25">
        <v>44.0</v>
      </c>
      <c r="B21" s="36">
        <v>44.0</v>
      </c>
      <c r="C21" s="33">
        <v>11.0</v>
      </c>
      <c r="D21" s="33">
        <v>16.0</v>
      </c>
      <c r="E21" s="33" t="s">
        <v>120</v>
      </c>
      <c r="F21" s="33" t="s">
        <v>121</v>
      </c>
      <c r="G21" s="33" t="s">
        <v>122</v>
      </c>
      <c r="H21" s="33" t="s">
        <v>20</v>
      </c>
      <c r="I21" s="33" t="s">
        <v>64</v>
      </c>
      <c r="J21" s="33" t="s">
        <v>123</v>
      </c>
      <c r="K21" s="33" t="s">
        <v>124</v>
      </c>
      <c r="L21" s="32"/>
      <c r="M21" s="38" t="s">
        <v>125</v>
      </c>
      <c r="N21" s="6"/>
      <c r="O21" s="30"/>
      <c r="P21" s="6"/>
      <c r="Q21" s="6"/>
    </row>
    <row r="22">
      <c r="A22" s="25">
        <v>44.0</v>
      </c>
      <c r="B22" s="32">
        <v>44.0</v>
      </c>
      <c r="C22" s="33">
        <v>18.0</v>
      </c>
      <c r="D22" s="33">
        <v>17.0</v>
      </c>
      <c r="E22" s="33" t="s">
        <v>126</v>
      </c>
      <c r="F22" s="28" t="s">
        <v>127</v>
      </c>
      <c r="G22" s="33" t="s">
        <v>128</v>
      </c>
      <c r="H22" s="33" t="s">
        <v>36</v>
      </c>
      <c r="I22" s="33" t="s">
        <v>86</v>
      </c>
      <c r="J22" s="33" t="s">
        <v>129</v>
      </c>
      <c r="K22" s="33" t="s">
        <v>130</v>
      </c>
      <c r="L22" s="32"/>
      <c r="M22" s="28" t="s">
        <v>131</v>
      </c>
      <c r="N22" s="6"/>
      <c r="O22" s="30"/>
      <c r="P22" s="6"/>
      <c r="Q22" s="6"/>
    </row>
    <row r="23">
      <c r="A23" s="25">
        <v>44.0</v>
      </c>
      <c r="B23" s="32">
        <v>44.0</v>
      </c>
      <c r="C23" s="33">
        <v>36.0</v>
      </c>
      <c r="D23" s="33">
        <v>18.0</v>
      </c>
      <c r="E23" s="33" t="s">
        <v>132</v>
      </c>
      <c r="F23" s="33" t="s">
        <v>133</v>
      </c>
      <c r="G23" s="33" t="s">
        <v>134</v>
      </c>
      <c r="H23" s="33" t="s">
        <v>20</v>
      </c>
      <c r="I23" s="33" t="s">
        <v>29</v>
      </c>
      <c r="J23" s="33" t="s">
        <v>135</v>
      </c>
      <c r="K23" s="33" t="s">
        <v>101</v>
      </c>
      <c r="L23" s="32"/>
      <c r="M23" s="28" t="s">
        <v>136</v>
      </c>
      <c r="N23" s="6"/>
      <c r="O23" s="30"/>
      <c r="P23" s="6"/>
      <c r="Q23" s="6"/>
    </row>
    <row r="24">
      <c r="A24" s="25">
        <v>44.0</v>
      </c>
      <c r="B24" s="32">
        <v>44.0</v>
      </c>
      <c r="C24" s="33">
        <v>30.0</v>
      </c>
      <c r="D24" s="33">
        <v>19.0</v>
      </c>
      <c r="E24" s="33" t="s">
        <v>137</v>
      </c>
      <c r="F24" s="33" t="s">
        <v>138</v>
      </c>
      <c r="G24" s="33" t="s">
        <v>139</v>
      </c>
      <c r="H24" s="33" t="s">
        <v>36</v>
      </c>
      <c r="I24" s="33" t="s">
        <v>21</v>
      </c>
      <c r="J24" s="33" t="s">
        <v>140</v>
      </c>
      <c r="K24" s="33" t="s">
        <v>59</v>
      </c>
      <c r="L24" s="32"/>
      <c r="M24" s="28" t="s">
        <v>141</v>
      </c>
      <c r="N24" s="6"/>
      <c r="O24" s="30"/>
      <c r="P24" s="6"/>
      <c r="Q24" s="6"/>
    </row>
    <row r="25">
      <c r="A25" s="25">
        <v>44.0</v>
      </c>
      <c r="B25" s="36">
        <v>44.0</v>
      </c>
      <c r="C25" s="33">
        <v>8.0</v>
      </c>
      <c r="D25" s="33">
        <v>20.0</v>
      </c>
      <c r="E25" s="33" t="s">
        <v>142</v>
      </c>
      <c r="F25" s="33" t="s">
        <v>143</v>
      </c>
      <c r="G25" s="33" t="s">
        <v>144</v>
      </c>
      <c r="H25" s="33" t="s">
        <v>20</v>
      </c>
      <c r="I25" s="33" t="s">
        <v>145</v>
      </c>
      <c r="J25" s="33" t="s">
        <v>146</v>
      </c>
      <c r="K25" s="33" t="s">
        <v>147</v>
      </c>
      <c r="L25" s="32"/>
      <c r="M25" s="28" t="s">
        <v>148</v>
      </c>
      <c r="N25" s="6"/>
      <c r="O25" s="30"/>
      <c r="P25" s="6"/>
      <c r="Q25" s="6"/>
    </row>
    <row r="26">
      <c r="A26" s="25">
        <v>44.0</v>
      </c>
      <c r="B26" s="36">
        <v>44.0</v>
      </c>
      <c r="C26" s="33">
        <v>11.0</v>
      </c>
      <c r="D26" s="33">
        <v>21.0</v>
      </c>
      <c r="E26" s="33" t="s">
        <v>149</v>
      </c>
      <c r="F26" s="33" t="s">
        <v>150</v>
      </c>
      <c r="G26" s="33" t="s">
        <v>151</v>
      </c>
      <c r="H26" s="33" t="s">
        <v>28</v>
      </c>
      <c r="I26" s="33" t="s">
        <v>64</v>
      </c>
      <c r="J26" s="33" t="s">
        <v>123</v>
      </c>
      <c r="K26" s="33" t="s">
        <v>124</v>
      </c>
      <c r="L26" s="32"/>
      <c r="M26" s="28" t="s">
        <v>125</v>
      </c>
      <c r="N26" s="6"/>
      <c r="O26" s="30"/>
      <c r="P26" s="6"/>
      <c r="Q26" s="6"/>
    </row>
    <row r="27">
      <c r="A27" s="25">
        <v>44.0</v>
      </c>
      <c r="B27" s="32">
        <v>44.0</v>
      </c>
      <c r="C27" s="33">
        <v>6.0</v>
      </c>
      <c r="D27" s="33">
        <v>22.0</v>
      </c>
      <c r="E27" s="33" t="s">
        <v>152</v>
      </c>
      <c r="F27" s="33" t="s">
        <v>153</v>
      </c>
      <c r="G27" s="33" t="s">
        <v>154</v>
      </c>
      <c r="H27" s="33" t="s">
        <v>36</v>
      </c>
      <c r="I27" s="33" t="s">
        <v>37</v>
      </c>
      <c r="J27" s="33" t="s">
        <v>155</v>
      </c>
      <c r="K27" s="33" t="s">
        <v>156</v>
      </c>
      <c r="L27" s="32"/>
      <c r="M27" s="28" t="s">
        <v>157</v>
      </c>
      <c r="N27" s="6"/>
      <c r="O27" s="30"/>
      <c r="P27" s="6"/>
      <c r="Q27" s="6"/>
    </row>
    <row r="28">
      <c r="A28" s="25">
        <v>44.0</v>
      </c>
      <c r="B28" s="32">
        <v>44.0</v>
      </c>
      <c r="C28" s="33">
        <v>3.0</v>
      </c>
      <c r="D28" s="33">
        <v>23.0</v>
      </c>
      <c r="E28" s="33" t="s">
        <v>158</v>
      </c>
      <c r="F28" s="33" t="s">
        <v>159</v>
      </c>
      <c r="G28" s="33" t="s">
        <v>160</v>
      </c>
      <c r="H28" s="33" t="s">
        <v>36</v>
      </c>
      <c r="I28" s="33" t="s">
        <v>86</v>
      </c>
      <c r="J28" s="33" t="s">
        <v>161</v>
      </c>
      <c r="K28" s="33" t="s">
        <v>162</v>
      </c>
      <c r="L28" s="32"/>
      <c r="M28" s="28" t="s">
        <v>163</v>
      </c>
      <c r="N28" s="6"/>
      <c r="O28" s="30"/>
      <c r="P28" s="6"/>
      <c r="Q28" s="6"/>
    </row>
    <row r="29">
      <c r="A29" s="25">
        <v>44.0</v>
      </c>
      <c r="B29" s="32">
        <v>44.0</v>
      </c>
      <c r="C29" s="33">
        <v>1.0</v>
      </c>
      <c r="D29" s="33">
        <v>24.0</v>
      </c>
      <c r="E29" s="33" t="s">
        <v>164</v>
      </c>
      <c r="F29" s="33" t="s">
        <v>165</v>
      </c>
      <c r="G29" s="33" t="s">
        <v>166</v>
      </c>
      <c r="H29" s="33" t="s">
        <v>36</v>
      </c>
      <c r="I29" s="33" t="s">
        <v>21</v>
      </c>
      <c r="J29" s="33" t="s">
        <v>167</v>
      </c>
      <c r="K29" s="33" t="s">
        <v>168</v>
      </c>
      <c r="L29" s="32"/>
      <c r="M29" s="28" t="s">
        <v>169</v>
      </c>
      <c r="N29" s="6"/>
      <c r="O29" s="30"/>
      <c r="P29" s="6"/>
      <c r="Q29" s="6"/>
    </row>
    <row r="30">
      <c r="A30" s="25" t="str">
        <f t="shared" ref="A30:A85" si="2">IF(B30=99,"98+",B30)</f>
        <v/>
      </c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2"/>
      <c r="M30" s="28"/>
      <c r="N30" s="6"/>
      <c r="O30" s="30"/>
      <c r="P30" s="6"/>
      <c r="Q30" s="6"/>
    </row>
    <row r="31">
      <c r="A31" s="25" t="str">
        <f t="shared" si="2"/>
        <v/>
      </c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2"/>
      <c r="M31" s="28"/>
      <c r="N31" s="6"/>
      <c r="O31" s="30"/>
      <c r="P31" s="6"/>
      <c r="Q31" s="6"/>
    </row>
    <row r="32">
      <c r="A32" s="25" t="str">
        <f t="shared" si="2"/>
        <v/>
      </c>
      <c r="B32" s="32"/>
      <c r="C32" s="33"/>
      <c r="D32" s="33"/>
      <c r="E32" s="39"/>
      <c r="F32" s="27"/>
      <c r="G32" s="27"/>
      <c r="H32" s="27"/>
      <c r="I32" s="27"/>
      <c r="J32" s="27"/>
      <c r="K32" s="27"/>
      <c r="L32" s="26"/>
      <c r="M32" s="28"/>
      <c r="N32" s="6"/>
      <c r="O32" s="30"/>
      <c r="P32" s="6"/>
      <c r="Q32" s="6"/>
    </row>
    <row r="33">
      <c r="A33" s="25" t="str">
        <f t="shared" si="2"/>
        <v/>
      </c>
      <c r="B33" s="32"/>
      <c r="C33" s="33"/>
      <c r="D33" s="33"/>
      <c r="E33" s="39"/>
      <c r="F33" s="33"/>
      <c r="G33" s="33"/>
      <c r="H33" s="33"/>
      <c r="I33" s="33"/>
      <c r="J33" s="33"/>
      <c r="K33" s="33"/>
      <c r="L33" s="32"/>
      <c r="M33" s="28"/>
      <c r="N33" s="6"/>
      <c r="O33" s="30"/>
      <c r="P33" s="6"/>
      <c r="Q33" s="6"/>
    </row>
    <row r="34">
      <c r="A34" s="25" t="str">
        <f t="shared" si="2"/>
        <v/>
      </c>
      <c r="B34" s="32"/>
      <c r="C34" s="33"/>
      <c r="D34" s="33"/>
      <c r="E34" s="39"/>
      <c r="F34" s="33"/>
      <c r="G34" s="33"/>
      <c r="H34" s="33"/>
      <c r="I34" s="33"/>
      <c r="J34" s="33"/>
      <c r="K34" s="33"/>
      <c r="L34" s="32"/>
      <c r="M34" s="28"/>
      <c r="N34" s="6"/>
      <c r="O34" s="30"/>
      <c r="P34" s="6"/>
      <c r="Q34" s="6"/>
    </row>
    <row r="35">
      <c r="A35" s="25" t="str">
        <f t="shared" si="2"/>
        <v/>
      </c>
      <c r="B35" s="32"/>
      <c r="C35" s="33"/>
      <c r="D35" s="33"/>
      <c r="E35" s="39"/>
      <c r="F35" s="33"/>
      <c r="G35" s="33"/>
      <c r="H35" s="33"/>
      <c r="I35" s="33"/>
      <c r="J35" s="33"/>
      <c r="K35" s="33"/>
      <c r="L35" s="32"/>
      <c r="M35" s="28"/>
      <c r="N35" s="6"/>
      <c r="O35" s="30"/>
      <c r="P35" s="6"/>
      <c r="Q35" s="6"/>
    </row>
    <row r="36">
      <c r="A36" s="25" t="str">
        <f t="shared" si="2"/>
        <v/>
      </c>
      <c r="B36" s="32"/>
      <c r="C36" s="33"/>
      <c r="D36" s="33"/>
      <c r="E36" s="39"/>
      <c r="F36" s="33"/>
      <c r="G36" s="33"/>
      <c r="H36" s="33"/>
      <c r="I36" s="33"/>
      <c r="J36" s="33"/>
      <c r="K36" s="33"/>
      <c r="L36" s="32"/>
      <c r="M36" s="28"/>
      <c r="N36" s="6"/>
      <c r="O36" s="30"/>
      <c r="P36" s="6"/>
      <c r="Q36" s="6"/>
    </row>
    <row r="37">
      <c r="A37" s="25" t="str">
        <f t="shared" si="2"/>
        <v/>
      </c>
      <c r="B37" s="32"/>
      <c r="C37" s="33"/>
      <c r="D37" s="33"/>
      <c r="E37" s="39"/>
      <c r="F37" s="33"/>
      <c r="G37" s="33"/>
      <c r="H37" s="33"/>
      <c r="I37" s="33"/>
      <c r="J37" s="33"/>
      <c r="K37" s="33"/>
      <c r="L37" s="32"/>
      <c r="M37" s="28"/>
      <c r="N37" s="6"/>
      <c r="O37" s="30"/>
      <c r="P37" s="6"/>
      <c r="Q37" s="6"/>
    </row>
    <row r="38">
      <c r="A38" s="25" t="str">
        <f t="shared" si="2"/>
        <v/>
      </c>
      <c r="B38" s="32"/>
      <c r="C38" s="33"/>
      <c r="D38" s="33"/>
      <c r="E38" s="39"/>
      <c r="F38" s="33"/>
      <c r="G38" s="33"/>
      <c r="H38" s="33"/>
      <c r="I38" s="33"/>
      <c r="J38" s="33"/>
      <c r="K38" s="33"/>
      <c r="L38" s="32"/>
      <c r="M38" s="28"/>
      <c r="N38" s="6"/>
      <c r="O38" s="30"/>
      <c r="P38" s="6"/>
      <c r="Q38" s="6"/>
    </row>
    <row r="39">
      <c r="A39" s="25" t="str">
        <f t="shared" si="2"/>
        <v/>
      </c>
      <c r="B39" s="32"/>
      <c r="C39" s="33"/>
      <c r="D39" s="33"/>
      <c r="E39" s="39"/>
      <c r="F39" s="33"/>
      <c r="G39" s="33"/>
      <c r="H39" s="33"/>
      <c r="I39" s="33"/>
      <c r="J39" s="33"/>
      <c r="K39" s="33"/>
      <c r="L39" s="32"/>
      <c r="M39" s="28"/>
      <c r="N39" s="6"/>
      <c r="O39" s="30"/>
      <c r="P39" s="6"/>
      <c r="Q39" s="6"/>
    </row>
    <row r="40">
      <c r="A40" s="25" t="str">
        <f t="shared" si="2"/>
        <v/>
      </c>
      <c r="B40" s="32"/>
      <c r="C40" s="33"/>
      <c r="D40" s="33"/>
      <c r="E40" s="39"/>
      <c r="F40" s="33"/>
      <c r="G40" s="33"/>
      <c r="H40" s="33"/>
      <c r="I40" s="33"/>
      <c r="J40" s="33"/>
      <c r="K40" s="33"/>
      <c r="L40" s="32"/>
      <c r="M40" s="28"/>
      <c r="N40" s="6"/>
      <c r="O40" s="30"/>
      <c r="P40" s="6"/>
      <c r="Q40" s="6"/>
    </row>
    <row r="41">
      <c r="A41" s="25" t="str">
        <f t="shared" si="2"/>
        <v/>
      </c>
      <c r="B41" s="32"/>
      <c r="C41" s="33"/>
      <c r="D41" s="33"/>
      <c r="E41" s="39"/>
      <c r="F41" s="33"/>
      <c r="G41" s="33"/>
      <c r="H41" s="33"/>
      <c r="I41" s="33"/>
      <c r="J41" s="33"/>
      <c r="K41" s="33"/>
      <c r="L41" s="32"/>
      <c r="M41" s="28"/>
      <c r="N41" s="6"/>
      <c r="O41" s="30"/>
      <c r="P41" s="6"/>
      <c r="Q41" s="6"/>
    </row>
    <row r="42">
      <c r="A42" s="25" t="str">
        <f t="shared" si="2"/>
        <v/>
      </c>
      <c r="B42" s="32"/>
      <c r="C42" s="33"/>
      <c r="D42" s="33"/>
      <c r="E42" s="39"/>
      <c r="F42" s="33"/>
      <c r="G42" s="33"/>
      <c r="H42" s="33"/>
      <c r="I42" s="33"/>
      <c r="J42" s="33"/>
      <c r="K42" s="33"/>
      <c r="L42" s="32"/>
      <c r="M42" s="28"/>
      <c r="N42" s="6"/>
      <c r="O42" s="30"/>
      <c r="P42" s="6"/>
      <c r="Q42" s="6"/>
    </row>
    <row r="43">
      <c r="A43" s="25" t="str">
        <f t="shared" si="2"/>
        <v/>
      </c>
      <c r="B43" s="32"/>
      <c r="C43" s="33"/>
      <c r="D43" s="33"/>
      <c r="E43" s="39"/>
      <c r="F43" s="33"/>
      <c r="G43" s="33"/>
      <c r="H43" s="33"/>
      <c r="I43" s="33"/>
      <c r="J43" s="33"/>
      <c r="K43" s="33"/>
      <c r="L43" s="32"/>
      <c r="M43" s="28"/>
      <c r="N43" s="6"/>
      <c r="O43" s="30"/>
      <c r="P43" s="6"/>
      <c r="Q43" s="6"/>
    </row>
    <row r="44">
      <c r="A44" s="25" t="str">
        <f t="shared" si="2"/>
        <v/>
      </c>
      <c r="B44" s="32"/>
      <c r="C44" s="33"/>
      <c r="D44" s="33"/>
      <c r="E44" s="39"/>
      <c r="F44" s="33"/>
      <c r="G44" s="33"/>
      <c r="H44" s="33"/>
      <c r="I44" s="33"/>
      <c r="J44" s="33"/>
      <c r="K44" s="33"/>
      <c r="L44" s="32"/>
      <c r="M44" s="28"/>
      <c r="N44" s="6"/>
      <c r="O44" s="30"/>
      <c r="P44" s="6"/>
      <c r="Q44" s="6"/>
    </row>
    <row r="45">
      <c r="A45" s="25" t="str">
        <f t="shared" si="2"/>
        <v/>
      </c>
      <c r="B45" s="32"/>
      <c r="C45" s="33"/>
      <c r="D45" s="33"/>
      <c r="E45" s="39"/>
      <c r="F45" s="28"/>
      <c r="G45" s="33"/>
      <c r="H45" s="33"/>
      <c r="I45" s="33"/>
      <c r="J45" s="33"/>
      <c r="K45" s="33"/>
      <c r="L45" s="32"/>
      <c r="M45" s="28"/>
      <c r="N45" s="6"/>
      <c r="O45" s="30"/>
      <c r="P45" s="6"/>
      <c r="Q45" s="6"/>
    </row>
    <row r="46">
      <c r="A46" s="25" t="str">
        <f t="shared" si="2"/>
        <v/>
      </c>
      <c r="B46" s="32"/>
      <c r="C46" s="33"/>
      <c r="D46" s="33"/>
      <c r="E46" s="39"/>
      <c r="F46" s="33"/>
      <c r="G46" s="33"/>
      <c r="H46" s="33"/>
      <c r="I46" s="33"/>
      <c r="J46" s="33"/>
      <c r="K46" s="33"/>
      <c r="L46" s="32"/>
      <c r="M46" s="40"/>
      <c r="N46" s="6"/>
      <c r="O46" s="30"/>
      <c r="P46" s="6"/>
      <c r="Q46" s="6"/>
    </row>
    <row r="47">
      <c r="A47" s="25" t="str">
        <f t="shared" si="2"/>
        <v/>
      </c>
      <c r="B47" s="32"/>
      <c r="C47" s="33"/>
      <c r="D47" s="33"/>
      <c r="E47" s="39"/>
      <c r="F47" s="33"/>
      <c r="G47" s="33"/>
      <c r="H47" s="33"/>
      <c r="I47" s="33"/>
      <c r="J47" s="33"/>
      <c r="K47" s="33"/>
      <c r="L47" s="32"/>
      <c r="M47" s="28"/>
      <c r="N47" s="6"/>
      <c r="O47" s="30"/>
      <c r="P47" s="6"/>
      <c r="Q47" s="6"/>
    </row>
    <row r="48">
      <c r="A48" s="25" t="str">
        <f t="shared" si="2"/>
        <v/>
      </c>
      <c r="B48" s="32"/>
      <c r="C48" s="33"/>
      <c r="D48" s="33"/>
      <c r="E48" s="39"/>
      <c r="F48" s="33"/>
      <c r="G48" s="33"/>
      <c r="H48" s="33"/>
      <c r="I48" s="33"/>
      <c r="J48" s="33"/>
      <c r="K48" s="33"/>
      <c r="L48" s="32"/>
      <c r="M48" s="28"/>
      <c r="N48" s="6"/>
      <c r="O48" s="30"/>
      <c r="P48" s="6"/>
      <c r="Q48" s="6"/>
    </row>
    <row r="49">
      <c r="A49" s="25" t="str">
        <f t="shared" si="2"/>
        <v/>
      </c>
      <c r="B49" s="32"/>
      <c r="C49" s="33"/>
      <c r="D49" s="33"/>
      <c r="E49" s="39"/>
      <c r="F49" s="33"/>
      <c r="G49" s="33"/>
      <c r="H49" s="33"/>
      <c r="I49" s="33"/>
      <c r="J49" s="33"/>
      <c r="K49" s="33"/>
      <c r="L49" s="32"/>
      <c r="M49" s="28"/>
      <c r="N49" s="6"/>
      <c r="O49" s="30"/>
      <c r="P49" s="6"/>
      <c r="Q49" s="6"/>
    </row>
    <row r="50">
      <c r="A50" s="25" t="str">
        <f t="shared" si="2"/>
        <v/>
      </c>
      <c r="B50" s="32"/>
      <c r="C50" s="33"/>
      <c r="D50" s="33"/>
      <c r="E50" s="39"/>
      <c r="F50" s="33"/>
      <c r="G50" s="33"/>
      <c r="H50" s="33"/>
      <c r="I50" s="33"/>
      <c r="J50" s="33"/>
      <c r="K50" s="33"/>
      <c r="L50" s="32"/>
      <c r="M50" s="28"/>
      <c r="N50" s="6"/>
      <c r="O50" s="30"/>
      <c r="P50" s="6"/>
      <c r="Q50" s="6"/>
    </row>
    <row r="51">
      <c r="A51" s="25" t="str">
        <f t="shared" si="2"/>
        <v/>
      </c>
      <c r="B51" s="32"/>
      <c r="C51" s="33"/>
      <c r="D51" s="33"/>
      <c r="E51" s="39"/>
      <c r="F51" s="33"/>
      <c r="G51" s="33"/>
      <c r="H51" s="33"/>
      <c r="I51" s="33"/>
      <c r="J51" s="33"/>
      <c r="K51" s="33"/>
      <c r="L51" s="32"/>
      <c r="M51" s="28"/>
      <c r="N51" s="6"/>
      <c r="O51" s="30"/>
      <c r="P51" s="6"/>
      <c r="Q51" s="6"/>
    </row>
    <row r="52">
      <c r="A52" s="25" t="str">
        <f t="shared" si="2"/>
        <v/>
      </c>
      <c r="B52" s="32"/>
      <c r="C52" s="33"/>
      <c r="D52" s="33"/>
      <c r="E52" s="39"/>
      <c r="F52" s="33"/>
      <c r="G52" s="33"/>
      <c r="H52" s="33"/>
      <c r="I52" s="33"/>
      <c r="J52" s="33"/>
      <c r="K52" s="33"/>
      <c r="L52" s="32"/>
      <c r="M52" s="28"/>
      <c r="N52" s="6"/>
      <c r="O52" s="30"/>
      <c r="P52" s="6"/>
      <c r="Q52" s="6"/>
    </row>
    <row r="53">
      <c r="A53" s="25" t="str">
        <f t="shared" si="2"/>
        <v/>
      </c>
      <c r="B53" s="32"/>
      <c r="C53" s="33"/>
      <c r="D53" s="33"/>
      <c r="E53" s="39"/>
      <c r="F53" s="33"/>
      <c r="G53" s="33"/>
      <c r="H53" s="33"/>
      <c r="I53" s="33"/>
      <c r="J53" s="33"/>
      <c r="K53" s="33"/>
      <c r="L53" s="32"/>
      <c r="M53" s="28"/>
      <c r="N53" s="6"/>
      <c r="O53" s="30"/>
      <c r="P53" s="6"/>
      <c r="Q53" s="6"/>
    </row>
    <row r="54">
      <c r="A54" s="25" t="str">
        <f t="shared" si="2"/>
        <v/>
      </c>
      <c r="B54" s="32"/>
      <c r="C54" s="33"/>
      <c r="D54" s="33"/>
      <c r="E54" s="39"/>
      <c r="F54" s="33"/>
      <c r="G54" s="33"/>
      <c r="H54" s="33"/>
      <c r="I54" s="33"/>
      <c r="J54" s="33"/>
      <c r="K54" s="33"/>
      <c r="L54" s="32"/>
      <c r="M54" s="28"/>
      <c r="N54" s="6"/>
      <c r="O54" s="30"/>
      <c r="P54" s="6"/>
      <c r="Q54" s="6"/>
    </row>
    <row r="55">
      <c r="A55" s="25" t="str">
        <f t="shared" si="2"/>
        <v/>
      </c>
      <c r="B55" s="32"/>
      <c r="C55" s="33"/>
      <c r="D55" s="33"/>
      <c r="E55" s="39"/>
      <c r="F55" s="33"/>
      <c r="G55" s="33"/>
      <c r="H55" s="33"/>
      <c r="I55" s="33"/>
      <c r="J55" s="33"/>
      <c r="K55" s="33"/>
      <c r="L55" s="32"/>
      <c r="M55" s="28"/>
      <c r="N55" s="6"/>
      <c r="O55" s="30"/>
      <c r="P55" s="6"/>
      <c r="Q55" s="6"/>
    </row>
    <row r="56">
      <c r="A56" s="25" t="str">
        <f t="shared" si="2"/>
        <v/>
      </c>
      <c r="B56" s="32"/>
      <c r="C56" s="33"/>
      <c r="D56" s="33"/>
      <c r="E56" s="39"/>
      <c r="F56" s="33"/>
      <c r="G56" s="33"/>
      <c r="H56" s="33"/>
      <c r="I56" s="33"/>
      <c r="J56" s="33"/>
      <c r="K56" s="33"/>
      <c r="L56" s="32"/>
      <c r="M56" s="28"/>
      <c r="N56" s="6"/>
      <c r="O56" s="30"/>
      <c r="P56" s="6"/>
      <c r="Q56" s="6"/>
    </row>
    <row r="57">
      <c r="A57" s="25" t="str">
        <f t="shared" si="2"/>
        <v/>
      </c>
      <c r="B57" s="32"/>
      <c r="C57" s="33"/>
      <c r="D57" s="33"/>
      <c r="E57" s="39"/>
      <c r="F57" s="33"/>
      <c r="G57" s="33"/>
      <c r="H57" s="33"/>
      <c r="I57" s="33"/>
      <c r="J57" s="33"/>
      <c r="K57" s="33"/>
      <c r="L57" s="32"/>
      <c r="M57" s="28"/>
      <c r="N57" s="6"/>
      <c r="O57" s="30"/>
      <c r="P57" s="6"/>
      <c r="Q57" s="6"/>
    </row>
    <row r="58">
      <c r="A58" s="25" t="str">
        <f t="shared" si="2"/>
        <v/>
      </c>
      <c r="B58" s="32"/>
      <c r="C58" s="33"/>
      <c r="D58" s="33"/>
      <c r="E58" s="39"/>
      <c r="F58" s="33"/>
      <c r="G58" s="33"/>
      <c r="H58" s="33"/>
      <c r="I58" s="33"/>
      <c r="J58" s="33"/>
      <c r="K58" s="33"/>
      <c r="L58" s="32"/>
      <c r="M58" s="28"/>
      <c r="N58" s="6"/>
      <c r="O58" s="30"/>
      <c r="P58" s="6"/>
      <c r="Q58" s="6"/>
    </row>
    <row r="59">
      <c r="A59" s="25" t="str">
        <f t="shared" si="2"/>
        <v/>
      </c>
      <c r="B59" s="32"/>
      <c r="C59" s="33"/>
      <c r="D59" s="33"/>
      <c r="E59" s="39"/>
      <c r="F59" s="33"/>
      <c r="G59" s="33"/>
      <c r="H59" s="33"/>
      <c r="I59" s="33"/>
      <c r="J59" s="33"/>
      <c r="K59" s="33"/>
      <c r="L59" s="32"/>
      <c r="M59" s="28"/>
      <c r="N59" s="6"/>
      <c r="O59" s="30"/>
      <c r="P59" s="6"/>
      <c r="Q59" s="6"/>
    </row>
    <row r="60">
      <c r="A60" s="25" t="str">
        <f t="shared" si="2"/>
        <v/>
      </c>
      <c r="B60" s="32"/>
      <c r="C60" s="33"/>
      <c r="D60" s="33"/>
      <c r="E60" s="39"/>
      <c r="F60" s="33"/>
      <c r="G60" s="33"/>
      <c r="H60" s="33"/>
      <c r="I60" s="33"/>
      <c r="J60" s="33"/>
      <c r="K60" s="33"/>
      <c r="L60" s="32"/>
      <c r="M60" s="28"/>
      <c r="N60" s="6"/>
      <c r="O60" s="30"/>
      <c r="P60" s="6"/>
      <c r="Q60" s="6"/>
    </row>
    <row r="61">
      <c r="A61" s="25" t="str">
        <f t="shared" si="2"/>
        <v/>
      </c>
      <c r="B61" s="32"/>
      <c r="C61" s="33"/>
      <c r="D61" s="33"/>
      <c r="E61" s="39"/>
      <c r="F61" s="33"/>
      <c r="G61" s="33"/>
      <c r="H61" s="33"/>
      <c r="I61" s="33"/>
      <c r="J61" s="33"/>
      <c r="K61" s="33"/>
      <c r="L61" s="32"/>
      <c r="M61" s="28"/>
      <c r="N61" s="6"/>
      <c r="O61" s="30"/>
      <c r="P61" s="6"/>
      <c r="Q61" s="6"/>
    </row>
    <row r="62">
      <c r="A62" s="25" t="str">
        <f t="shared" si="2"/>
        <v/>
      </c>
      <c r="B62" s="32"/>
      <c r="C62" s="33"/>
      <c r="D62" s="33"/>
      <c r="E62" s="39"/>
      <c r="F62" s="33"/>
      <c r="G62" s="33"/>
      <c r="H62" s="33"/>
      <c r="I62" s="33"/>
      <c r="J62" s="33"/>
      <c r="K62" s="33"/>
      <c r="L62" s="32"/>
      <c r="M62" s="28"/>
      <c r="N62" s="6"/>
      <c r="O62" s="30"/>
      <c r="P62" s="6"/>
      <c r="Q62" s="6"/>
    </row>
    <row r="63">
      <c r="A63" s="25" t="str">
        <f t="shared" si="2"/>
        <v/>
      </c>
      <c r="B63" s="32"/>
      <c r="C63" s="33"/>
      <c r="D63" s="33"/>
      <c r="E63" s="39"/>
      <c r="F63" s="33"/>
      <c r="G63" s="33"/>
      <c r="H63" s="33"/>
      <c r="I63" s="33"/>
      <c r="J63" s="33"/>
      <c r="K63" s="33"/>
      <c r="L63" s="32"/>
      <c r="M63" s="28"/>
      <c r="N63" s="6"/>
      <c r="O63" s="30"/>
      <c r="P63" s="6"/>
      <c r="Q63" s="6"/>
    </row>
    <row r="64">
      <c r="A64" s="25" t="str">
        <f t="shared" si="2"/>
        <v/>
      </c>
      <c r="B64" s="32"/>
      <c r="C64" s="33"/>
      <c r="D64" s="33"/>
      <c r="E64" s="39"/>
      <c r="F64" s="33"/>
      <c r="G64" s="33"/>
      <c r="H64" s="33"/>
      <c r="I64" s="33"/>
      <c r="J64" s="33"/>
      <c r="K64" s="33"/>
      <c r="L64" s="32"/>
      <c r="M64" s="28"/>
      <c r="O64" s="41"/>
    </row>
    <row r="65">
      <c r="A65" s="25" t="str">
        <f t="shared" si="2"/>
        <v/>
      </c>
      <c r="B65" s="32"/>
      <c r="C65" s="33"/>
      <c r="D65" s="33"/>
      <c r="E65" s="39"/>
      <c r="F65" s="33"/>
      <c r="G65" s="33"/>
      <c r="H65" s="33"/>
      <c r="I65" s="33"/>
      <c r="J65" s="33"/>
      <c r="K65" s="33"/>
      <c r="L65" s="32"/>
      <c r="M65" s="28"/>
      <c r="O65" s="41"/>
    </row>
    <row r="66">
      <c r="A66" s="25" t="str">
        <f t="shared" si="2"/>
        <v/>
      </c>
      <c r="B66" s="32"/>
      <c r="C66" s="33"/>
      <c r="D66" s="33"/>
      <c r="E66" s="39"/>
      <c r="F66" s="33"/>
      <c r="G66" s="33"/>
      <c r="H66" s="33"/>
      <c r="I66" s="33"/>
      <c r="J66" s="33"/>
      <c r="K66" s="33"/>
      <c r="L66" s="32"/>
      <c r="M66" s="28"/>
      <c r="O66" s="41"/>
    </row>
    <row r="67">
      <c r="A67" s="25" t="str">
        <f t="shared" si="2"/>
        <v/>
      </c>
      <c r="B67" s="32"/>
      <c r="C67" s="33"/>
      <c r="D67" s="33"/>
      <c r="E67" s="39"/>
      <c r="F67" s="33"/>
      <c r="G67" s="33"/>
      <c r="H67" s="33"/>
      <c r="I67" s="33"/>
      <c r="J67" s="33"/>
      <c r="K67" s="33"/>
      <c r="L67" s="32"/>
      <c r="M67" s="28"/>
      <c r="O67" s="41"/>
    </row>
    <row r="68">
      <c r="A68" s="25" t="str">
        <f t="shared" si="2"/>
        <v/>
      </c>
      <c r="B68" s="32"/>
      <c r="C68" s="33"/>
      <c r="D68" s="33"/>
      <c r="E68" s="39"/>
      <c r="F68" s="33"/>
      <c r="G68" s="33"/>
      <c r="H68" s="33"/>
      <c r="I68" s="33"/>
      <c r="J68" s="33"/>
      <c r="K68" s="33"/>
      <c r="L68" s="32"/>
      <c r="M68" s="28"/>
      <c r="O68" s="41"/>
    </row>
    <row r="69">
      <c r="A69" s="25" t="str">
        <f t="shared" si="2"/>
        <v/>
      </c>
      <c r="B69" s="32"/>
      <c r="C69" s="33"/>
      <c r="D69" s="33"/>
      <c r="E69" s="39"/>
      <c r="F69" s="33"/>
      <c r="G69" s="33"/>
      <c r="H69" s="33"/>
      <c r="I69" s="33"/>
      <c r="J69" s="33"/>
      <c r="K69" s="33"/>
      <c r="L69" s="32"/>
      <c r="M69" s="28"/>
      <c r="O69" s="41"/>
    </row>
    <row r="70">
      <c r="A70" s="25" t="str">
        <f t="shared" si="2"/>
        <v/>
      </c>
      <c r="B70" s="32"/>
      <c r="C70" s="33"/>
      <c r="D70" s="33"/>
      <c r="E70" s="39"/>
      <c r="F70" s="33"/>
      <c r="G70" s="33"/>
      <c r="H70" s="33"/>
      <c r="I70" s="33"/>
      <c r="J70" s="33"/>
      <c r="K70" s="33"/>
      <c r="L70" s="32"/>
      <c r="M70" s="28"/>
      <c r="O70" s="41"/>
    </row>
    <row r="71">
      <c r="A71" s="25" t="str">
        <f t="shared" si="2"/>
        <v/>
      </c>
      <c r="B71" s="32"/>
      <c r="C71" s="33"/>
      <c r="D71" s="33"/>
      <c r="E71" s="39"/>
      <c r="F71" s="33"/>
      <c r="G71" s="33"/>
      <c r="H71" s="33"/>
      <c r="I71" s="33"/>
      <c r="J71" s="33"/>
      <c r="K71" s="33"/>
      <c r="L71" s="32"/>
      <c r="M71" s="28"/>
      <c r="O71" s="41"/>
    </row>
    <row r="72">
      <c r="A72" s="25" t="str">
        <f t="shared" si="2"/>
        <v/>
      </c>
      <c r="B72" s="32"/>
      <c r="C72" s="33"/>
      <c r="D72" s="33"/>
      <c r="E72" s="39"/>
      <c r="F72" s="33"/>
      <c r="G72" s="33"/>
      <c r="H72" s="33"/>
      <c r="I72" s="33"/>
      <c r="J72" s="33"/>
      <c r="K72" s="33"/>
      <c r="L72" s="32"/>
      <c r="M72" s="28"/>
      <c r="O72" s="41"/>
    </row>
    <row r="73">
      <c r="A73" s="25" t="str">
        <f t="shared" si="2"/>
        <v/>
      </c>
      <c r="B73" s="32"/>
      <c r="C73" s="33"/>
      <c r="D73" s="33"/>
      <c r="E73" s="39"/>
      <c r="F73" s="33"/>
      <c r="G73" s="33"/>
      <c r="H73" s="33"/>
      <c r="I73" s="33"/>
      <c r="J73" s="33"/>
      <c r="K73" s="33"/>
      <c r="L73" s="32"/>
      <c r="M73" s="28"/>
      <c r="O73" s="41"/>
    </row>
    <row r="74">
      <c r="A74" s="25" t="str">
        <f t="shared" si="2"/>
        <v/>
      </c>
      <c r="B74" s="32"/>
      <c r="C74" s="33"/>
      <c r="D74" s="33"/>
      <c r="E74" s="39"/>
      <c r="F74" s="33"/>
      <c r="G74" s="33"/>
      <c r="H74" s="33"/>
      <c r="I74" s="33"/>
      <c r="J74" s="33"/>
      <c r="K74" s="33"/>
      <c r="L74" s="32"/>
      <c r="M74" s="28"/>
      <c r="O74" s="41"/>
    </row>
    <row r="75">
      <c r="A75" s="25" t="str">
        <f t="shared" si="2"/>
        <v/>
      </c>
      <c r="B75" s="32"/>
      <c r="C75" s="33"/>
      <c r="D75" s="33"/>
      <c r="E75" s="39"/>
      <c r="F75" s="33"/>
      <c r="G75" s="33"/>
      <c r="H75" s="33"/>
      <c r="I75" s="33"/>
      <c r="J75" s="33"/>
      <c r="K75" s="33"/>
      <c r="L75" s="32"/>
      <c r="M75" s="28"/>
      <c r="O75" s="41"/>
    </row>
    <row r="76">
      <c r="A76" s="25" t="str">
        <f t="shared" si="2"/>
        <v/>
      </c>
      <c r="B76" s="32"/>
      <c r="C76" s="33"/>
      <c r="D76" s="33"/>
      <c r="E76" s="39"/>
      <c r="F76" s="33"/>
      <c r="G76" s="33"/>
      <c r="H76" s="33"/>
      <c r="I76" s="33"/>
      <c r="J76" s="33"/>
      <c r="K76" s="33"/>
      <c r="L76" s="32"/>
      <c r="M76" s="28"/>
      <c r="O76" s="41"/>
    </row>
    <row r="77">
      <c r="A77" s="25" t="str">
        <f t="shared" si="2"/>
        <v/>
      </c>
      <c r="B77" s="36"/>
      <c r="C77" s="32"/>
      <c r="D77" s="33"/>
      <c r="E77" s="33"/>
      <c r="F77" s="39"/>
      <c r="G77" s="33"/>
      <c r="H77" s="33"/>
      <c r="I77" s="33"/>
      <c r="J77" s="33"/>
      <c r="K77" s="33"/>
      <c r="L77" s="33"/>
      <c r="M77" s="32"/>
      <c r="N77" s="28"/>
      <c r="O77" s="41"/>
    </row>
    <row r="78">
      <c r="A78" s="25" t="str">
        <f t="shared" si="2"/>
        <v/>
      </c>
      <c r="B78" s="36"/>
      <c r="C78" s="32"/>
      <c r="D78" s="33"/>
      <c r="E78" s="33"/>
      <c r="F78" s="39"/>
      <c r="G78" s="33"/>
      <c r="H78" s="33"/>
      <c r="I78" s="33"/>
      <c r="J78" s="33"/>
      <c r="K78" s="33"/>
      <c r="L78" s="33"/>
      <c r="M78" s="32"/>
      <c r="N78" s="28"/>
      <c r="O78" s="41"/>
    </row>
    <row r="79">
      <c r="A79" s="25" t="str">
        <f t="shared" si="2"/>
        <v/>
      </c>
      <c r="B79" s="36"/>
      <c r="C79" s="32"/>
      <c r="D79" s="33"/>
      <c r="E79" s="33"/>
      <c r="F79" s="39"/>
      <c r="G79" s="33"/>
      <c r="H79" s="33"/>
      <c r="I79" s="33"/>
      <c r="J79" s="33"/>
      <c r="K79" s="33"/>
      <c r="L79" s="33"/>
      <c r="M79" s="32"/>
      <c r="N79" s="28"/>
      <c r="O79" s="41"/>
    </row>
    <row r="80">
      <c r="A80" s="25" t="str">
        <f t="shared" si="2"/>
        <v/>
      </c>
      <c r="B80" s="36"/>
      <c r="C80" s="32"/>
      <c r="D80" s="33"/>
      <c r="E80" s="33"/>
      <c r="F80" s="39"/>
      <c r="G80" s="33"/>
      <c r="H80" s="33"/>
      <c r="I80" s="33"/>
      <c r="J80" s="33"/>
      <c r="K80" s="33"/>
      <c r="L80" s="33"/>
      <c r="M80" s="32"/>
      <c r="N80" s="28"/>
      <c r="O80" s="41"/>
    </row>
    <row r="81">
      <c r="A81" s="25" t="str">
        <f t="shared" si="2"/>
        <v/>
      </c>
      <c r="B81" s="36"/>
      <c r="C81" s="32"/>
      <c r="D81" s="33"/>
      <c r="E81" s="33"/>
      <c r="F81" s="39"/>
      <c r="G81" s="33"/>
      <c r="H81" s="33"/>
      <c r="I81" s="33"/>
      <c r="J81" s="33"/>
      <c r="K81" s="33"/>
      <c r="L81" s="33"/>
      <c r="M81" s="32"/>
      <c r="N81" s="28"/>
    </row>
    <row r="82">
      <c r="A82" s="25" t="str">
        <f t="shared" si="2"/>
        <v/>
      </c>
      <c r="B82" s="36"/>
      <c r="C82" s="32"/>
      <c r="D82" s="33"/>
      <c r="E82" s="33"/>
      <c r="F82" s="39"/>
      <c r="G82" s="33"/>
      <c r="H82" s="33"/>
      <c r="I82" s="33"/>
      <c r="J82" s="33"/>
      <c r="K82" s="33"/>
      <c r="L82" s="33"/>
      <c r="M82" s="32"/>
      <c r="N82" s="28"/>
    </row>
    <row r="83">
      <c r="A83" s="25" t="str">
        <f t="shared" si="2"/>
        <v/>
      </c>
      <c r="B83" s="36"/>
      <c r="C83" s="32"/>
      <c r="D83" s="33"/>
      <c r="E83" s="33"/>
      <c r="F83" s="39"/>
      <c r="G83" s="33"/>
      <c r="H83" s="33"/>
      <c r="I83" s="33"/>
      <c r="J83" s="33"/>
      <c r="K83" s="33"/>
      <c r="L83" s="33"/>
      <c r="M83" s="32"/>
      <c r="N83" s="28"/>
    </row>
    <row r="84">
      <c r="A84" s="25" t="str">
        <f t="shared" si="2"/>
        <v/>
      </c>
      <c r="B84" s="36"/>
      <c r="C84" s="32"/>
      <c r="D84" s="33"/>
      <c r="E84" s="33"/>
      <c r="F84" s="39"/>
      <c r="G84" s="33"/>
      <c r="H84" s="33"/>
      <c r="I84" s="33"/>
      <c r="J84" s="33"/>
      <c r="K84" s="33"/>
      <c r="L84" s="33"/>
      <c r="M84" s="32"/>
      <c r="N84" s="28"/>
    </row>
    <row r="85">
      <c r="A85" s="25" t="str">
        <f t="shared" si="2"/>
        <v/>
      </c>
      <c r="B85" s="36"/>
      <c r="C85" s="32"/>
      <c r="D85" s="33"/>
      <c r="E85" s="33"/>
      <c r="F85" s="39"/>
      <c r="G85" s="33"/>
      <c r="H85" s="33"/>
      <c r="I85" s="33"/>
      <c r="J85" s="33"/>
      <c r="K85" s="33"/>
      <c r="L85" s="33"/>
      <c r="M85" s="32"/>
      <c r="N85" s="28"/>
    </row>
    <row r="86">
      <c r="M86" s="40"/>
    </row>
    <row r="87">
      <c r="M87" s="40"/>
    </row>
    <row r="88">
      <c r="M88" s="40"/>
    </row>
    <row r="89">
      <c r="M89" s="40"/>
    </row>
    <row r="90">
      <c r="M90" s="40"/>
    </row>
    <row r="91">
      <c r="M91" s="40"/>
    </row>
    <row r="92">
      <c r="M92" s="40"/>
    </row>
    <row r="93">
      <c r="M93" s="40"/>
    </row>
    <row r="94">
      <c r="M94" s="40"/>
    </row>
    <row r="95">
      <c r="M95" s="40"/>
    </row>
    <row r="96">
      <c r="M96" s="40"/>
    </row>
    <row r="97">
      <c r="M97" s="40"/>
    </row>
    <row r="98">
      <c r="M98" s="40"/>
    </row>
    <row r="99">
      <c r="M99" s="40"/>
    </row>
    <row r="100">
      <c r="M100" s="40"/>
    </row>
    <row r="101">
      <c r="M101" s="40"/>
    </row>
    <row r="102">
      <c r="M102" s="40"/>
    </row>
    <row r="103">
      <c r="M103" s="40"/>
    </row>
    <row r="104">
      <c r="M104" s="40"/>
    </row>
    <row r="105">
      <c r="M105" s="40"/>
    </row>
    <row r="106">
      <c r="M106" s="40"/>
    </row>
    <row r="107">
      <c r="M107" s="40"/>
    </row>
    <row r="108">
      <c r="M108" s="40"/>
    </row>
    <row r="109">
      <c r="M109" s="40"/>
    </row>
    <row r="110">
      <c r="M110" s="40"/>
    </row>
    <row r="111">
      <c r="M111" s="40"/>
    </row>
    <row r="112">
      <c r="M112" s="40"/>
    </row>
    <row r="113">
      <c r="M113" s="40"/>
    </row>
    <row r="114">
      <c r="M114" s="40"/>
    </row>
    <row r="115">
      <c r="M115" s="40"/>
    </row>
    <row r="116">
      <c r="M116" s="40"/>
    </row>
    <row r="117">
      <c r="M117" s="40"/>
    </row>
    <row r="118">
      <c r="M118" s="40"/>
    </row>
    <row r="119">
      <c r="M119" s="40"/>
    </row>
    <row r="120">
      <c r="M120" s="40"/>
    </row>
    <row r="121">
      <c r="M121" s="40"/>
    </row>
    <row r="122">
      <c r="M122" s="40"/>
    </row>
    <row r="123">
      <c r="M123" s="40"/>
    </row>
    <row r="124">
      <c r="M124" s="40"/>
    </row>
    <row r="125">
      <c r="M125" s="40"/>
    </row>
    <row r="126">
      <c r="M126" s="40"/>
    </row>
    <row r="127">
      <c r="M127" s="40"/>
    </row>
    <row r="128">
      <c r="M128" s="40"/>
    </row>
    <row r="129">
      <c r="M129" s="40"/>
    </row>
    <row r="130">
      <c r="M130" s="40"/>
    </row>
    <row r="131">
      <c r="M131" s="40"/>
    </row>
    <row r="132">
      <c r="M132" s="40"/>
    </row>
    <row r="133">
      <c r="M133" s="40"/>
    </row>
    <row r="134">
      <c r="M134" s="40"/>
    </row>
    <row r="135">
      <c r="M135" s="40"/>
    </row>
    <row r="136">
      <c r="M136" s="40"/>
    </row>
    <row r="137">
      <c r="M137" s="40"/>
    </row>
    <row r="138">
      <c r="M138" s="40"/>
    </row>
    <row r="139">
      <c r="M139" s="40"/>
    </row>
    <row r="140">
      <c r="M140" s="40"/>
    </row>
    <row r="141">
      <c r="M141" s="40"/>
    </row>
    <row r="142">
      <c r="M142" s="40"/>
    </row>
    <row r="143">
      <c r="M143" s="40"/>
    </row>
    <row r="144">
      <c r="M144" s="40"/>
    </row>
    <row r="145">
      <c r="M145" s="40"/>
    </row>
    <row r="146">
      <c r="M146" s="40"/>
    </row>
    <row r="147">
      <c r="M147" s="40"/>
    </row>
    <row r="148">
      <c r="M148" s="40"/>
    </row>
    <row r="149">
      <c r="M149" s="40"/>
    </row>
    <row r="150">
      <c r="M150" s="40"/>
    </row>
    <row r="151">
      <c r="M151" s="40"/>
    </row>
    <row r="152">
      <c r="M152" s="40"/>
    </row>
    <row r="153">
      <c r="M153" s="40"/>
    </row>
    <row r="154">
      <c r="M154" s="40"/>
    </row>
    <row r="155">
      <c r="M155" s="40"/>
    </row>
    <row r="156">
      <c r="M156" s="40"/>
    </row>
    <row r="157">
      <c r="M157" s="40"/>
    </row>
    <row r="158">
      <c r="M158" s="40"/>
    </row>
    <row r="159">
      <c r="M159" s="40"/>
    </row>
    <row r="160">
      <c r="M160" s="40"/>
    </row>
    <row r="161">
      <c r="M161" s="40"/>
    </row>
    <row r="162">
      <c r="M162" s="40"/>
    </row>
    <row r="163">
      <c r="M163" s="40"/>
    </row>
    <row r="164">
      <c r="M164" s="40"/>
    </row>
    <row r="165">
      <c r="M165" s="40"/>
    </row>
    <row r="166">
      <c r="M166" s="40"/>
    </row>
    <row r="167">
      <c r="M167" s="40"/>
    </row>
    <row r="168">
      <c r="M168" s="40"/>
    </row>
    <row r="169">
      <c r="M169" s="40"/>
    </row>
    <row r="170">
      <c r="M170" s="40"/>
    </row>
    <row r="171">
      <c r="M171" s="40"/>
    </row>
    <row r="172">
      <c r="M172" s="40"/>
    </row>
    <row r="173">
      <c r="M173" s="40"/>
    </row>
    <row r="174">
      <c r="M174" s="40"/>
    </row>
    <row r="175">
      <c r="M175" s="40"/>
    </row>
    <row r="176">
      <c r="M176" s="40"/>
    </row>
    <row r="177">
      <c r="M177" s="40"/>
    </row>
    <row r="178">
      <c r="M178" s="40"/>
    </row>
    <row r="179">
      <c r="M179" s="40"/>
    </row>
    <row r="180">
      <c r="M180" s="40"/>
    </row>
    <row r="181">
      <c r="M181" s="40"/>
    </row>
    <row r="182">
      <c r="M182" s="40"/>
    </row>
    <row r="183">
      <c r="M183" s="40"/>
    </row>
    <row r="184">
      <c r="M184" s="40"/>
    </row>
    <row r="185">
      <c r="M185" s="40"/>
    </row>
    <row r="186">
      <c r="M186" s="40"/>
    </row>
    <row r="187">
      <c r="M187" s="40"/>
    </row>
    <row r="188">
      <c r="M188" s="40"/>
    </row>
    <row r="189">
      <c r="M189" s="40"/>
    </row>
    <row r="190">
      <c r="M190" s="40"/>
    </row>
    <row r="191">
      <c r="M191" s="40"/>
    </row>
    <row r="192">
      <c r="M192" s="40"/>
    </row>
    <row r="193">
      <c r="M193" s="40"/>
    </row>
    <row r="194">
      <c r="M194" s="40"/>
    </row>
    <row r="195">
      <c r="M195" s="40"/>
    </row>
    <row r="196">
      <c r="M196" s="40"/>
    </row>
    <row r="197">
      <c r="M197" s="40"/>
    </row>
    <row r="198">
      <c r="M198" s="40"/>
    </row>
    <row r="199">
      <c r="M199" s="40"/>
    </row>
    <row r="200">
      <c r="M200" s="40"/>
    </row>
    <row r="201">
      <c r="M201" s="40"/>
    </row>
    <row r="202">
      <c r="M202" s="40"/>
    </row>
    <row r="203">
      <c r="M203" s="40"/>
    </row>
    <row r="204">
      <c r="M204" s="40"/>
    </row>
    <row r="205">
      <c r="M205" s="40"/>
    </row>
    <row r="206">
      <c r="M206" s="40"/>
    </row>
    <row r="207">
      <c r="M207" s="40"/>
    </row>
    <row r="208">
      <c r="M208" s="40"/>
    </row>
    <row r="209">
      <c r="M209" s="40"/>
    </row>
    <row r="210">
      <c r="M210" s="40"/>
    </row>
    <row r="211">
      <c r="M211" s="40"/>
    </row>
    <row r="212">
      <c r="M212" s="40"/>
    </row>
    <row r="213">
      <c r="M213" s="40"/>
    </row>
    <row r="214">
      <c r="M214" s="40"/>
    </row>
    <row r="215">
      <c r="M215" s="40"/>
    </row>
    <row r="216">
      <c r="M216" s="40"/>
    </row>
    <row r="217">
      <c r="M217" s="40"/>
    </row>
    <row r="218">
      <c r="M218" s="40"/>
    </row>
    <row r="219">
      <c r="M219" s="40"/>
    </row>
    <row r="220">
      <c r="M220" s="40"/>
    </row>
    <row r="221">
      <c r="M221" s="40"/>
    </row>
    <row r="222">
      <c r="M222" s="40"/>
    </row>
    <row r="223">
      <c r="M223" s="40"/>
    </row>
    <row r="224">
      <c r="M224" s="40"/>
    </row>
    <row r="225">
      <c r="M225" s="40"/>
    </row>
    <row r="226">
      <c r="M226" s="40"/>
    </row>
    <row r="227">
      <c r="M227" s="40"/>
    </row>
    <row r="228">
      <c r="M228" s="40"/>
    </row>
    <row r="229">
      <c r="M229" s="40"/>
    </row>
    <row r="230">
      <c r="M230" s="40"/>
    </row>
    <row r="231">
      <c r="M231" s="40"/>
    </row>
    <row r="232">
      <c r="M232" s="40"/>
    </row>
    <row r="233">
      <c r="M233" s="40"/>
    </row>
    <row r="234">
      <c r="M234" s="40"/>
    </row>
    <row r="235">
      <c r="M235" s="40"/>
    </row>
    <row r="236">
      <c r="M236" s="40"/>
    </row>
    <row r="237">
      <c r="M237" s="40"/>
    </row>
    <row r="238">
      <c r="M238" s="40"/>
    </row>
    <row r="239">
      <c r="M239" s="40"/>
    </row>
    <row r="240">
      <c r="M240" s="40"/>
    </row>
    <row r="241">
      <c r="M241" s="40"/>
    </row>
    <row r="242">
      <c r="M242" s="40"/>
    </row>
    <row r="243">
      <c r="M243" s="40"/>
    </row>
    <row r="244">
      <c r="M244" s="40"/>
    </row>
    <row r="245">
      <c r="M245" s="40"/>
    </row>
    <row r="246">
      <c r="M246" s="40"/>
    </row>
    <row r="247">
      <c r="M247" s="40"/>
    </row>
    <row r="248">
      <c r="M248" s="40"/>
    </row>
    <row r="249">
      <c r="M249" s="40"/>
    </row>
    <row r="250">
      <c r="M250" s="40"/>
    </row>
    <row r="251">
      <c r="M251" s="40"/>
    </row>
    <row r="252">
      <c r="M252" s="40"/>
    </row>
    <row r="253">
      <c r="M253" s="40"/>
    </row>
    <row r="254">
      <c r="M254" s="40"/>
    </row>
    <row r="255">
      <c r="M255" s="40"/>
    </row>
    <row r="256">
      <c r="M256" s="40"/>
    </row>
    <row r="257">
      <c r="M257" s="40"/>
    </row>
    <row r="258">
      <c r="M258" s="40"/>
    </row>
    <row r="259">
      <c r="M259" s="40"/>
    </row>
    <row r="260">
      <c r="M260" s="40"/>
    </row>
    <row r="261">
      <c r="M261" s="40"/>
    </row>
    <row r="262">
      <c r="M262" s="40"/>
    </row>
    <row r="263">
      <c r="M263" s="40"/>
    </row>
    <row r="264">
      <c r="M264" s="40"/>
    </row>
    <row r="265">
      <c r="M265" s="40"/>
    </row>
    <row r="266">
      <c r="M266" s="40"/>
    </row>
    <row r="267">
      <c r="M267" s="40"/>
    </row>
    <row r="268">
      <c r="M268" s="40"/>
    </row>
    <row r="269">
      <c r="M269" s="40"/>
    </row>
    <row r="270">
      <c r="M270" s="40"/>
    </row>
    <row r="271">
      <c r="M271" s="40"/>
    </row>
    <row r="272">
      <c r="M272" s="40"/>
    </row>
    <row r="273">
      <c r="M273" s="40"/>
    </row>
    <row r="274">
      <c r="M274" s="40"/>
    </row>
    <row r="275">
      <c r="M275" s="40"/>
    </row>
    <row r="276">
      <c r="M276" s="40"/>
    </row>
    <row r="277">
      <c r="M277" s="40"/>
    </row>
    <row r="278">
      <c r="M278" s="40"/>
    </row>
    <row r="279">
      <c r="M279" s="40"/>
    </row>
    <row r="280">
      <c r="M280" s="40"/>
    </row>
    <row r="281">
      <c r="M281" s="40"/>
    </row>
    <row r="282">
      <c r="M282" s="40"/>
    </row>
    <row r="283">
      <c r="M283" s="40"/>
    </row>
    <row r="284">
      <c r="M284" s="40"/>
    </row>
    <row r="285">
      <c r="M285" s="40"/>
    </row>
    <row r="286">
      <c r="M286" s="40"/>
    </row>
    <row r="287">
      <c r="M287" s="40"/>
    </row>
    <row r="288">
      <c r="M288" s="40"/>
    </row>
    <row r="289">
      <c r="M289" s="40"/>
    </row>
    <row r="290">
      <c r="M290" s="40"/>
    </row>
    <row r="291">
      <c r="M291" s="40"/>
    </row>
    <row r="292">
      <c r="M292" s="40"/>
    </row>
    <row r="293">
      <c r="M293" s="40"/>
    </row>
    <row r="294">
      <c r="M294" s="40"/>
    </row>
    <row r="295">
      <c r="M295" s="40"/>
    </row>
    <row r="296">
      <c r="M296" s="40"/>
    </row>
    <row r="297">
      <c r="M297" s="40"/>
    </row>
    <row r="298">
      <c r="M298" s="40"/>
    </row>
    <row r="299">
      <c r="M299" s="40"/>
    </row>
    <row r="300">
      <c r="M300" s="40"/>
    </row>
    <row r="301">
      <c r="M301" s="40"/>
    </row>
    <row r="302">
      <c r="M302" s="40"/>
    </row>
    <row r="303">
      <c r="M303" s="40"/>
    </row>
    <row r="304">
      <c r="M304" s="40"/>
    </row>
    <row r="305">
      <c r="M305" s="40"/>
    </row>
    <row r="306">
      <c r="M306" s="40"/>
    </row>
    <row r="307">
      <c r="M307" s="40"/>
    </row>
    <row r="308">
      <c r="M308" s="40"/>
    </row>
    <row r="309">
      <c r="M309" s="40"/>
    </row>
    <row r="310">
      <c r="M310" s="40"/>
    </row>
    <row r="311">
      <c r="M311" s="40"/>
    </row>
    <row r="312">
      <c r="M312" s="40"/>
    </row>
    <row r="313">
      <c r="M313" s="40"/>
    </row>
    <row r="314">
      <c r="M314" s="40"/>
    </row>
    <row r="315">
      <c r="M315" s="40"/>
    </row>
    <row r="316">
      <c r="M316" s="40"/>
    </row>
    <row r="317">
      <c r="M317" s="40"/>
    </row>
    <row r="318">
      <c r="M318" s="40"/>
    </row>
    <row r="319">
      <c r="M319" s="40"/>
    </row>
    <row r="320">
      <c r="M320" s="40"/>
    </row>
    <row r="321">
      <c r="M321" s="40"/>
    </row>
    <row r="322">
      <c r="M322" s="40"/>
    </row>
    <row r="323">
      <c r="M323" s="40"/>
    </row>
    <row r="324">
      <c r="M324" s="40"/>
    </row>
    <row r="325">
      <c r="M325" s="40"/>
    </row>
    <row r="326">
      <c r="M326" s="40"/>
    </row>
    <row r="327">
      <c r="M327" s="40"/>
    </row>
    <row r="328">
      <c r="M328" s="40"/>
    </row>
    <row r="329">
      <c r="M329" s="40"/>
    </row>
    <row r="330">
      <c r="M330" s="40"/>
    </row>
    <row r="331">
      <c r="M331" s="40"/>
    </row>
    <row r="332">
      <c r="M332" s="40"/>
    </row>
    <row r="333">
      <c r="M333" s="40"/>
    </row>
    <row r="334">
      <c r="M334" s="40"/>
    </row>
    <row r="335">
      <c r="M335" s="40"/>
    </row>
    <row r="336">
      <c r="M336" s="40"/>
    </row>
    <row r="337">
      <c r="M337" s="40"/>
    </row>
    <row r="338">
      <c r="M338" s="40"/>
    </row>
    <row r="339">
      <c r="M339" s="40"/>
    </row>
    <row r="340">
      <c r="M340" s="40"/>
    </row>
    <row r="341">
      <c r="M341" s="40"/>
    </row>
    <row r="342">
      <c r="M342" s="40"/>
    </row>
    <row r="343">
      <c r="M343" s="40"/>
    </row>
    <row r="344">
      <c r="M344" s="40"/>
    </row>
    <row r="345">
      <c r="M345" s="40"/>
    </row>
    <row r="346">
      <c r="M346" s="40"/>
    </row>
    <row r="347">
      <c r="M347" s="40"/>
    </row>
    <row r="348">
      <c r="M348" s="40"/>
    </row>
    <row r="349">
      <c r="M349" s="40"/>
    </row>
    <row r="350">
      <c r="M350" s="40"/>
    </row>
    <row r="351">
      <c r="M351" s="40"/>
    </row>
    <row r="352">
      <c r="M352" s="40"/>
    </row>
    <row r="353">
      <c r="M353" s="40"/>
    </row>
    <row r="354">
      <c r="M354" s="40"/>
    </row>
    <row r="355">
      <c r="M355" s="40"/>
    </row>
    <row r="356">
      <c r="M356" s="40"/>
    </row>
    <row r="357">
      <c r="M357" s="40"/>
    </row>
    <row r="358">
      <c r="M358" s="40"/>
    </row>
    <row r="359">
      <c r="M359" s="40"/>
    </row>
    <row r="360">
      <c r="M360" s="40"/>
    </row>
    <row r="361">
      <c r="M361" s="40"/>
    </row>
    <row r="362">
      <c r="M362" s="40"/>
    </row>
    <row r="363">
      <c r="M363" s="40"/>
    </row>
    <row r="364">
      <c r="M364" s="40"/>
    </row>
    <row r="365">
      <c r="M365" s="40"/>
    </row>
    <row r="366">
      <c r="M366" s="40"/>
    </row>
    <row r="367">
      <c r="M367" s="40"/>
    </row>
    <row r="368">
      <c r="M368" s="40"/>
    </row>
    <row r="369">
      <c r="M369" s="40"/>
    </row>
    <row r="370">
      <c r="M370" s="40"/>
    </row>
    <row r="371">
      <c r="M371" s="40"/>
    </row>
    <row r="372">
      <c r="M372" s="40"/>
    </row>
    <row r="373">
      <c r="M373" s="40"/>
    </row>
    <row r="374">
      <c r="M374" s="40"/>
    </row>
    <row r="375">
      <c r="M375" s="40"/>
    </row>
    <row r="376">
      <c r="M376" s="40"/>
    </row>
    <row r="377">
      <c r="M377" s="40"/>
    </row>
    <row r="378">
      <c r="M378" s="40"/>
    </row>
    <row r="379">
      <c r="M379" s="40"/>
    </row>
    <row r="380">
      <c r="M380" s="40"/>
    </row>
    <row r="381">
      <c r="M381" s="40"/>
    </row>
    <row r="382">
      <c r="M382" s="40"/>
    </row>
    <row r="383">
      <c r="M383" s="40"/>
    </row>
    <row r="384">
      <c r="M384" s="40"/>
    </row>
    <row r="385">
      <c r="M385" s="40"/>
    </row>
    <row r="386">
      <c r="M386" s="40"/>
    </row>
    <row r="387">
      <c r="M387" s="40"/>
    </row>
    <row r="388">
      <c r="M388" s="40"/>
    </row>
    <row r="389">
      <c r="M389" s="40"/>
    </row>
    <row r="390">
      <c r="M390" s="40"/>
    </row>
    <row r="391">
      <c r="M391" s="40"/>
    </row>
    <row r="392">
      <c r="M392" s="40"/>
    </row>
    <row r="393">
      <c r="M393" s="40"/>
    </row>
    <row r="394">
      <c r="M394" s="40"/>
    </row>
    <row r="395">
      <c r="M395" s="40"/>
    </row>
    <row r="396">
      <c r="M396" s="40"/>
    </row>
    <row r="397">
      <c r="M397" s="40"/>
    </row>
    <row r="398">
      <c r="M398" s="40"/>
    </row>
    <row r="399">
      <c r="M399" s="40"/>
    </row>
    <row r="400">
      <c r="M400" s="40"/>
    </row>
    <row r="401">
      <c r="M401" s="40"/>
    </row>
    <row r="402">
      <c r="M402" s="40"/>
    </row>
    <row r="403">
      <c r="M403" s="40"/>
    </row>
    <row r="404">
      <c r="M404" s="40"/>
    </row>
    <row r="405">
      <c r="M405" s="40"/>
    </row>
    <row r="406">
      <c r="M406" s="40"/>
    </row>
    <row r="407">
      <c r="M407" s="40"/>
    </row>
    <row r="408">
      <c r="M408" s="40"/>
    </row>
    <row r="409">
      <c r="M409" s="40"/>
    </row>
    <row r="410">
      <c r="M410" s="40"/>
    </row>
    <row r="411">
      <c r="M411" s="40"/>
    </row>
    <row r="412">
      <c r="M412" s="40"/>
    </row>
    <row r="413">
      <c r="M413" s="40"/>
    </row>
    <row r="414">
      <c r="M414" s="40"/>
    </row>
    <row r="415">
      <c r="M415" s="40"/>
    </row>
    <row r="416">
      <c r="M416" s="40"/>
    </row>
    <row r="417">
      <c r="M417" s="40"/>
    </row>
    <row r="418">
      <c r="M418" s="40"/>
    </row>
    <row r="419">
      <c r="M419" s="40"/>
    </row>
    <row r="420">
      <c r="M420" s="40"/>
    </row>
    <row r="421">
      <c r="M421" s="40"/>
    </row>
    <row r="422">
      <c r="M422" s="40"/>
    </row>
    <row r="423">
      <c r="M423" s="40"/>
    </row>
    <row r="424">
      <c r="M424" s="40"/>
    </row>
    <row r="425">
      <c r="M425" s="40"/>
    </row>
    <row r="426">
      <c r="M426" s="40"/>
    </row>
    <row r="427">
      <c r="M427" s="40"/>
    </row>
    <row r="428">
      <c r="M428" s="40"/>
    </row>
    <row r="429">
      <c r="M429" s="40"/>
    </row>
    <row r="430">
      <c r="M430" s="40"/>
    </row>
    <row r="431">
      <c r="M431" s="40"/>
    </row>
    <row r="432">
      <c r="M432" s="40"/>
    </row>
    <row r="433">
      <c r="M433" s="40"/>
    </row>
    <row r="434">
      <c r="M434" s="40"/>
    </row>
    <row r="435">
      <c r="M435" s="40"/>
    </row>
    <row r="436">
      <c r="M436" s="40"/>
    </row>
    <row r="437">
      <c r="M437" s="40"/>
    </row>
    <row r="438">
      <c r="M438" s="40"/>
    </row>
    <row r="439">
      <c r="M439" s="40"/>
    </row>
    <row r="440">
      <c r="M440" s="40"/>
    </row>
    <row r="441">
      <c r="M441" s="40"/>
    </row>
    <row r="442">
      <c r="M442" s="40"/>
    </row>
    <row r="443">
      <c r="M443" s="40"/>
    </row>
    <row r="444">
      <c r="M444" s="40"/>
    </row>
    <row r="445">
      <c r="M445" s="40"/>
    </row>
    <row r="446">
      <c r="M446" s="40"/>
    </row>
    <row r="447">
      <c r="M447" s="40"/>
    </row>
    <row r="448">
      <c r="M448" s="40"/>
    </row>
    <row r="449">
      <c r="M449" s="40"/>
    </row>
    <row r="450">
      <c r="M450" s="40"/>
    </row>
    <row r="451">
      <c r="M451" s="40"/>
    </row>
    <row r="452">
      <c r="M452" s="40"/>
    </row>
    <row r="453">
      <c r="M453" s="40"/>
    </row>
    <row r="454">
      <c r="M454" s="40"/>
    </row>
    <row r="455">
      <c r="M455" s="40"/>
    </row>
    <row r="456">
      <c r="M456" s="40"/>
    </row>
    <row r="457">
      <c r="M457" s="40"/>
    </row>
    <row r="458">
      <c r="M458" s="40"/>
    </row>
    <row r="459">
      <c r="M459" s="40"/>
    </row>
    <row r="460">
      <c r="M460" s="40"/>
    </row>
    <row r="461">
      <c r="M461" s="40"/>
    </row>
    <row r="462">
      <c r="M462" s="40"/>
    </row>
    <row r="463">
      <c r="M463" s="40"/>
    </row>
    <row r="464">
      <c r="M464" s="40"/>
    </row>
    <row r="465">
      <c r="M465" s="40"/>
    </row>
    <row r="466">
      <c r="M466" s="40"/>
    </row>
    <row r="467">
      <c r="M467" s="40"/>
    </row>
    <row r="468">
      <c r="M468" s="40"/>
    </row>
    <row r="469">
      <c r="M469" s="40"/>
    </row>
    <row r="470">
      <c r="M470" s="40"/>
    </row>
    <row r="471">
      <c r="M471" s="40"/>
    </row>
    <row r="472">
      <c r="M472" s="40"/>
    </row>
    <row r="473">
      <c r="M473" s="40"/>
    </row>
    <row r="474">
      <c r="M474" s="40"/>
    </row>
    <row r="475">
      <c r="M475" s="40"/>
    </row>
    <row r="476">
      <c r="M476" s="40"/>
    </row>
    <row r="477">
      <c r="M477" s="40"/>
    </row>
    <row r="478">
      <c r="M478" s="40"/>
    </row>
    <row r="479">
      <c r="M479" s="40"/>
    </row>
    <row r="480">
      <c r="M480" s="40"/>
    </row>
    <row r="481">
      <c r="M481" s="40"/>
    </row>
    <row r="482">
      <c r="M482" s="40"/>
    </row>
    <row r="483">
      <c r="M483" s="40"/>
    </row>
    <row r="484">
      <c r="M484" s="40"/>
    </row>
    <row r="485">
      <c r="M485" s="40"/>
    </row>
    <row r="486">
      <c r="M486" s="40"/>
    </row>
    <row r="487">
      <c r="M487" s="40"/>
    </row>
    <row r="488">
      <c r="M488" s="40"/>
    </row>
    <row r="489">
      <c r="M489" s="40"/>
    </row>
    <row r="490">
      <c r="M490" s="40"/>
    </row>
    <row r="491">
      <c r="M491" s="40"/>
    </row>
    <row r="492">
      <c r="M492" s="40"/>
    </row>
    <row r="493">
      <c r="M493" s="40"/>
    </row>
    <row r="494">
      <c r="M494" s="40"/>
    </row>
    <row r="495">
      <c r="M495" s="40"/>
    </row>
    <row r="496">
      <c r="M496" s="40"/>
    </row>
    <row r="497">
      <c r="M497" s="40"/>
    </row>
    <row r="498">
      <c r="M498" s="40"/>
    </row>
    <row r="499">
      <c r="M499" s="40"/>
    </row>
    <row r="500">
      <c r="M500" s="40"/>
    </row>
    <row r="501">
      <c r="M501" s="40"/>
    </row>
    <row r="502">
      <c r="M502" s="40"/>
    </row>
    <row r="503">
      <c r="M503" s="40"/>
    </row>
    <row r="504">
      <c r="M504" s="40"/>
    </row>
    <row r="505">
      <c r="M505" s="40"/>
    </row>
    <row r="506">
      <c r="M506" s="40"/>
    </row>
    <row r="507">
      <c r="M507" s="40"/>
    </row>
    <row r="508">
      <c r="M508" s="40"/>
    </row>
    <row r="509">
      <c r="M509" s="40"/>
    </row>
    <row r="510">
      <c r="M510" s="40"/>
    </row>
    <row r="511">
      <c r="M511" s="40"/>
    </row>
    <row r="512">
      <c r="M512" s="40"/>
    </row>
    <row r="513">
      <c r="M513" s="40"/>
    </row>
    <row r="514">
      <c r="M514" s="40"/>
    </row>
    <row r="515">
      <c r="M515" s="40"/>
    </row>
    <row r="516">
      <c r="M516" s="40"/>
    </row>
    <row r="517">
      <c r="M517" s="40"/>
    </row>
    <row r="518">
      <c r="M518" s="40"/>
    </row>
    <row r="519">
      <c r="M519" s="40"/>
    </row>
    <row r="520">
      <c r="M520" s="40"/>
    </row>
    <row r="521">
      <c r="M521" s="40"/>
    </row>
    <row r="522">
      <c r="M522" s="40"/>
    </row>
    <row r="523">
      <c r="M523" s="40"/>
    </row>
    <row r="524">
      <c r="M524" s="40"/>
    </row>
    <row r="525">
      <c r="M525" s="40"/>
    </row>
    <row r="526">
      <c r="M526" s="40"/>
    </row>
    <row r="527">
      <c r="M527" s="40"/>
    </row>
    <row r="528">
      <c r="M528" s="40"/>
    </row>
    <row r="529">
      <c r="M529" s="40"/>
    </row>
    <row r="530">
      <c r="M530" s="40"/>
    </row>
    <row r="531">
      <c r="M531" s="40"/>
    </row>
    <row r="532">
      <c r="M532" s="40"/>
    </row>
    <row r="533">
      <c r="M533" s="40"/>
    </row>
    <row r="534">
      <c r="M534" s="40"/>
    </row>
    <row r="535">
      <c r="M535" s="40"/>
    </row>
    <row r="536">
      <c r="M536" s="40"/>
    </row>
    <row r="537">
      <c r="M537" s="40"/>
    </row>
    <row r="538">
      <c r="M538" s="40"/>
    </row>
    <row r="539">
      <c r="M539" s="40"/>
    </row>
    <row r="540">
      <c r="M540" s="40"/>
    </row>
    <row r="541">
      <c r="M541" s="40"/>
    </row>
    <row r="542">
      <c r="M542" s="40"/>
    </row>
    <row r="543">
      <c r="M543" s="40"/>
    </row>
    <row r="544">
      <c r="M544" s="40"/>
    </row>
    <row r="545">
      <c r="M545" s="40"/>
    </row>
    <row r="546">
      <c r="M546" s="40"/>
    </row>
    <row r="547">
      <c r="M547" s="40"/>
    </row>
    <row r="548">
      <c r="M548" s="40"/>
    </row>
    <row r="549">
      <c r="M549" s="40"/>
    </row>
    <row r="550">
      <c r="M550" s="40"/>
    </row>
    <row r="551">
      <c r="M551" s="40"/>
    </row>
    <row r="552">
      <c r="M552" s="40"/>
    </row>
    <row r="553">
      <c r="M553" s="40"/>
    </row>
    <row r="554">
      <c r="M554" s="40"/>
    </row>
    <row r="555">
      <c r="M555" s="40"/>
    </row>
    <row r="556">
      <c r="M556" s="40"/>
    </row>
    <row r="557">
      <c r="M557" s="40"/>
    </row>
    <row r="558">
      <c r="M558" s="40"/>
    </row>
    <row r="559">
      <c r="M559" s="40"/>
    </row>
    <row r="560">
      <c r="M560" s="40"/>
    </row>
    <row r="561">
      <c r="M561" s="40"/>
    </row>
    <row r="562">
      <c r="M562" s="40"/>
    </row>
    <row r="563">
      <c r="M563" s="40"/>
    </row>
    <row r="564">
      <c r="M564" s="40"/>
    </row>
    <row r="565">
      <c r="M565" s="40"/>
    </row>
    <row r="566">
      <c r="M566" s="40"/>
    </row>
    <row r="567">
      <c r="M567" s="40"/>
    </row>
    <row r="568">
      <c r="M568" s="40"/>
    </row>
    <row r="569">
      <c r="M569" s="40"/>
    </row>
    <row r="570">
      <c r="M570" s="40"/>
    </row>
    <row r="571">
      <c r="M571" s="40"/>
    </row>
    <row r="572">
      <c r="M572" s="40"/>
    </row>
    <row r="573">
      <c r="M573" s="40"/>
    </row>
    <row r="574">
      <c r="M574" s="40"/>
    </row>
    <row r="575">
      <c r="M575" s="40"/>
    </row>
    <row r="576">
      <c r="M576" s="40"/>
    </row>
    <row r="577">
      <c r="M577" s="40"/>
    </row>
    <row r="578">
      <c r="M578" s="40"/>
    </row>
    <row r="579">
      <c r="M579" s="40"/>
    </row>
    <row r="580">
      <c r="M580" s="40"/>
    </row>
    <row r="581">
      <c r="M581" s="40"/>
    </row>
    <row r="582">
      <c r="M582" s="40"/>
    </row>
    <row r="583">
      <c r="M583" s="40"/>
    </row>
    <row r="584">
      <c r="M584" s="40"/>
    </row>
    <row r="585">
      <c r="M585" s="40"/>
    </row>
    <row r="586">
      <c r="M586" s="40"/>
    </row>
    <row r="587">
      <c r="M587" s="40"/>
    </row>
    <row r="588">
      <c r="M588" s="40"/>
    </row>
    <row r="589">
      <c r="M589" s="40"/>
    </row>
    <row r="590">
      <c r="M590" s="40"/>
    </row>
    <row r="591">
      <c r="M591" s="40"/>
    </row>
    <row r="592">
      <c r="M592" s="40"/>
    </row>
    <row r="593">
      <c r="M593" s="40"/>
    </row>
    <row r="594">
      <c r="M594" s="40"/>
    </row>
    <row r="595">
      <c r="M595" s="40"/>
    </row>
    <row r="596">
      <c r="M596" s="40"/>
    </row>
    <row r="597">
      <c r="M597" s="40"/>
    </row>
    <row r="598">
      <c r="M598" s="40"/>
    </row>
    <row r="599">
      <c r="M599" s="40"/>
    </row>
    <row r="600">
      <c r="M600" s="40"/>
    </row>
    <row r="601">
      <c r="M601" s="40"/>
    </row>
    <row r="602">
      <c r="M602" s="40"/>
    </row>
    <row r="603">
      <c r="M603" s="40"/>
    </row>
    <row r="604">
      <c r="M604" s="40"/>
    </row>
    <row r="605">
      <c r="M605" s="40"/>
    </row>
    <row r="606">
      <c r="M606" s="40"/>
    </row>
    <row r="607">
      <c r="M607" s="40"/>
    </row>
    <row r="608">
      <c r="M608" s="40"/>
    </row>
    <row r="609">
      <c r="M609" s="40"/>
    </row>
    <row r="610">
      <c r="M610" s="40"/>
    </row>
    <row r="611">
      <c r="M611" s="40"/>
    </row>
    <row r="612">
      <c r="M612" s="40"/>
    </row>
    <row r="613">
      <c r="M613" s="40"/>
    </row>
    <row r="614">
      <c r="M614" s="40"/>
    </row>
    <row r="615">
      <c r="M615" s="40"/>
    </row>
    <row r="616">
      <c r="M616" s="40"/>
    </row>
    <row r="617">
      <c r="M617" s="40"/>
    </row>
    <row r="618">
      <c r="M618" s="40"/>
    </row>
    <row r="619">
      <c r="M619" s="40"/>
    </row>
    <row r="620">
      <c r="M620" s="40"/>
    </row>
    <row r="621">
      <c r="M621" s="40"/>
    </row>
    <row r="622">
      <c r="M622" s="40"/>
    </row>
    <row r="623">
      <c r="M623" s="40"/>
    </row>
    <row r="624">
      <c r="M624" s="40"/>
    </row>
    <row r="625">
      <c r="M625" s="40"/>
    </row>
    <row r="626">
      <c r="M626" s="40"/>
    </row>
    <row r="627">
      <c r="M627" s="40"/>
    </row>
    <row r="628">
      <c r="M628" s="40"/>
    </row>
    <row r="629">
      <c r="M629" s="40"/>
    </row>
    <row r="630">
      <c r="M630" s="40"/>
    </row>
    <row r="631">
      <c r="M631" s="40"/>
    </row>
    <row r="632">
      <c r="M632" s="40"/>
    </row>
    <row r="633">
      <c r="M633" s="40"/>
    </row>
    <row r="634">
      <c r="M634" s="40"/>
    </row>
    <row r="635">
      <c r="M635" s="40"/>
    </row>
    <row r="636">
      <c r="M636" s="40"/>
    </row>
    <row r="637">
      <c r="M637" s="40"/>
    </row>
    <row r="638">
      <c r="M638" s="40"/>
    </row>
    <row r="639">
      <c r="M639" s="40"/>
    </row>
    <row r="640">
      <c r="M640" s="40"/>
    </row>
    <row r="641">
      <c r="M641" s="40"/>
    </row>
    <row r="642">
      <c r="M642" s="40"/>
    </row>
    <row r="643">
      <c r="M643" s="40"/>
    </row>
    <row r="644">
      <c r="M644" s="40"/>
    </row>
    <row r="645">
      <c r="M645" s="40"/>
    </row>
    <row r="646">
      <c r="M646" s="40"/>
    </row>
    <row r="647">
      <c r="M647" s="40"/>
    </row>
    <row r="648">
      <c r="M648" s="40"/>
    </row>
    <row r="649">
      <c r="M649" s="40"/>
    </row>
    <row r="650">
      <c r="M650" s="40"/>
    </row>
    <row r="651">
      <c r="M651" s="40"/>
    </row>
    <row r="652">
      <c r="M652" s="40"/>
    </row>
    <row r="653">
      <c r="M653" s="40"/>
    </row>
    <row r="654">
      <c r="M654" s="40"/>
    </row>
    <row r="655">
      <c r="M655" s="40"/>
    </row>
    <row r="656">
      <c r="M656" s="40"/>
    </row>
    <row r="657">
      <c r="M657" s="40"/>
    </row>
    <row r="658">
      <c r="M658" s="40"/>
    </row>
    <row r="659">
      <c r="M659" s="40"/>
    </row>
    <row r="660">
      <c r="M660" s="40"/>
    </row>
    <row r="661">
      <c r="M661" s="40"/>
    </row>
    <row r="662">
      <c r="M662" s="40"/>
    </row>
    <row r="663">
      <c r="M663" s="40"/>
    </row>
    <row r="664">
      <c r="M664" s="40"/>
    </row>
    <row r="665">
      <c r="M665" s="40"/>
    </row>
    <row r="666">
      <c r="M666" s="40"/>
    </row>
    <row r="667">
      <c r="M667" s="40"/>
    </row>
    <row r="668">
      <c r="M668" s="40"/>
    </row>
    <row r="669">
      <c r="M669" s="40"/>
    </row>
    <row r="670">
      <c r="M670" s="40"/>
    </row>
    <row r="671">
      <c r="M671" s="40"/>
    </row>
    <row r="672">
      <c r="M672" s="40"/>
    </row>
    <row r="673">
      <c r="M673" s="40"/>
    </row>
    <row r="674">
      <c r="M674" s="40"/>
    </row>
    <row r="675">
      <c r="M675" s="40"/>
    </row>
    <row r="676">
      <c r="M676" s="40"/>
    </row>
    <row r="677">
      <c r="M677" s="40"/>
    </row>
    <row r="678">
      <c r="M678" s="40"/>
    </row>
    <row r="679">
      <c r="M679" s="40"/>
    </row>
    <row r="680">
      <c r="M680" s="40"/>
    </row>
    <row r="681">
      <c r="M681" s="40"/>
    </row>
    <row r="682">
      <c r="M682" s="40"/>
    </row>
    <row r="683">
      <c r="M683" s="40"/>
    </row>
    <row r="684">
      <c r="M684" s="40"/>
    </row>
    <row r="685">
      <c r="M685" s="40"/>
    </row>
    <row r="686">
      <c r="M686" s="40"/>
    </row>
    <row r="687">
      <c r="M687" s="40"/>
    </row>
    <row r="688">
      <c r="M688" s="40"/>
    </row>
    <row r="689">
      <c r="M689" s="40"/>
    </row>
    <row r="690">
      <c r="M690" s="40"/>
    </row>
    <row r="691">
      <c r="M691" s="40"/>
    </row>
    <row r="692">
      <c r="M692" s="40"/>
    </row>
    <row r="693">
      <c r="M693" s="40"/>
    </row>
    <row r="694">
      <c r="M694" s="40"/>
    </row>
    <row r="695">
      <c r="M695" s="40"/>
    </row>
    <row r="696">
      <c r="M696" s="40"/>
    </row>
    <row r="697">
      <c r="M697" s="40"/>
    </row>
    <row r="698">
      <c r="M698" s="40"/>
    </row>
    <row r="699">
      <c r="M699" s="40"/>
    </row>
    <row r="700">
      <c r="M700" s="40"/>
    </row>
    <row r="701">
      <c r="M701" s="40"/>
    </row>
    <row r="702">
      <c r="M702" s="40"/>
    </row>
    <row r="703">
      <c r="M703" s="40"/>
    </row>
    <row r="704">
      <c r="M704" s="40"/>
    </row>
    <row r="705">
      <c r="M705" s="40"/>
    </row>
    <row r="706">
      <c r="M706" s="40"/>
    </row>
    <row r="707">
      <c r="M707" s="40"/>
    </row>
    <row r="708">
      <c r="M708" s="40"/>
    </row>
    <row r="709">
      <c r="M709" s="40"/>
    </row>
    <row r="710">
      <c r="M710" s="40"/>
    </row>
    <row r="711">
      <c r="M711" s="40"/>
    </row>
    <row r="712">
      <c r="M712" s="40"/>
    </row>
    <row r="713">
      <c r="M713" s="40"/>
    </row>
    <row r="714">
      <c r="M714" s="40"/>
    </row>
    <row r="715">
      <c r="M715" s="40"/>
    </row>
    <row r="716">
      <c r="M716" s="40"/>
    </row>
    <row r="717">
      <c r="M717" s="40"/>
    </row>
    <row r="718">
      <c r="M718" s="40"/>
    </row>
    <row r="719">
      <c r="M719" s="40"/>
    </row>
    <row r="720">
      <c r="M720" s="40"/>
    </row>
    <row r="721">
      <c r="M721" s="40"/>
    </row>
    <row r="722">
      <c r="M722" s="40"/>
    </row>
    <row r="723">
      <c r="M723" s="40"/>
    </row>
    <row r="724">
      <c r="M724" s="40"/>
    </row>
    <row r="725">
      <c r="M725" s="40"/>
    </row>
    <row r="726">
      <c r="M726" s="40"/>
    </row>
    <row r="727">
      <c r="M727" s="40"/>
    </row>
    <row r="728">
      <c r="M728" s="40"/>
    </row>
    <row r="729">
      <c r="M729" s="40"/>
    </row>
    <row r="730">
      <c r="M730" s="40"/>
    </row>
    <row r="731">
      <c r="M731" s="40"/>
    </row>
    <row r="732">
      <c r="M732" s="40"/>
    </row>
    <row r="733">
      <c r="M733" s="40"/>
    </row>
    <row r="734">
      <c r="M734" s="40"/>
    </row>
    <row r="735">
      <c r="M735" s="40"/>
    </row>
    <row r="736">
      <c r="M736" s="40"/>
    </row>
    <row r="737">
      <c r="M737" s="40"/>
    </row>
    <row r="738">
      <c r="M738" s="40"/>
    </row>
    <row r="739">
      <c r="M739" s="40"/>
    </row>
    <row r="740">
      <c r="M740" s="40"/>
    </row>
    <row r="741">
      <c r="M741" s="40"/>
    </row>
    <row r="742">
      <c r="M742" s="40"/>
    </row>
    <row r="743">
      <c r="M743" s="40"/>
    </row>
    <row r="744">
      <c r="M744" s="40"/>
    </row>
    <row r="745">
      <c r="M745" s="40"/>
    </row>
    <row r="746">
      <c r="M746" s="40"/>
    </row>
    <row r="747">
      <c r="M747" s="40"/>
    </row>
    <row r="748">
      <c r="M748" s="40"/>
    </row>
    <row r="749">
      <c r="M749" s="40"/>
    </row>
    <row r="750">
      <c r="M750" s="40"/>
    </row>
    <row r="751">
      <c r="M751" s="40"/>
    </row>
    <row r="752">
      <c r="M752" s="40"/>
    </row>
    <row r="753">
      <c r="M753" s="40"/>
    </row>
    <row r="754">
      <c r="M754" s="40"/>
    </row>
    <row r="755">
      <c r="M755" s="40"/>
    </row>
    <row r="756">
      <c r="M756" s="40"/>
    </row>
    <row r="757">
      <c r="M757" s="40"/>
    </row>
    <row r="758">
      <c r="M758" s="40"/>
    </row>
    <row r="759">
      <c r="M759" s="40"/>
    </row>
    <row r="760">
      <c r="M760" s="40"/>
    </row>
    <row r="761">
      <c r="M761" s="40"/>
    </row>
    <row r="762">
      <c r="M762" s="40"/>
    </row>
    <row r="763">
      <c r="M763" s="40"/>
    </row>
    <row r="764">
      <c r="M764" s="40"/>
    </row>
    <row r="765">
      <c r="M765" s="40"/>
    </row>
    <row r="766">
      <c r="M766" s="40"/>
    </row>
    <row r="767">
      <c r="M767" s="40"/>
    </row>
    <row r="768">
      <c r="M768" s="40"/>
    </row>
    <row r="769">
      <c r="M769" s="40"/>
    </row>
    <row r="770">
      <c r="M770" s="40"/>
    </row>
    <row r="771">
      <c r="M771" s="40"/>
    </row>
    <row r="772">
      <c r="M772" s="40"/>
    </row>
    <row r="773">
      <c r="M773" s="40"/>
    </row>
    <row r="774">
      <c r="M774" s="40"/>
    </row>
    <row r="775">
      <c r="M775" s="40"/>
    </row>
    <row r="776">
      <c r="M776" s="40"/>
    </row>
    <row r="777">
      <c r="M777" s="40"/>
    </row>
    <row r="778">
      <c r="M778" s="40"/>
    </row>
    <row r="779">
      <c r="M779" s="40"/>
    </row>
    <row r="780">
      <c r="M780" s="40"/>
    </row>
    <row r="781">
      <c r="M781" s="40"/>
    </row>
    <row r="782">
      <c r="M782" s="40"/>
    </row>
    <row r="783">
      <c r="M783" s="40"/>
    </row>
    <row r="784">
      <c r="M784" s="40"/>
    </row>
    <row r="785">
      <c r="M785" s="40"/>
    </row>
    <row r="786">
      <c r="M786" s="40"/>
    </row>
    <row r="787">
      <c r="M787" s="40"/>
    </row>
    <row r="788">
      <c r="M788" s="40"/>
    </row>
    <row r="789">
      <c r="M789" s="40"/>
    </row>
    <row r="790">
      <c r="M790" s="40"/>
    </row>
    <row r="791">
      <c r="M791" s="40"/>
    </row>
    <row r="792">
      <c r="M792" s="40"/>
    </row>
    <row r="793">
      <c r="M793" s="40"/>
    </row>
    <row r="794">
      <c r="M794" s="40"/>
    </row>
    <row r="795">
      <c r="M795" s="40"/>
    </row>
    <row r="796">
      <c r="M796" s="40"/>
    </row>
    <row r="797">
      <c r="M797" s="40"/>
    </row>
    <row r="798">
      <c r="M798" s="40"/>
    </row>
    <row r="799">
      <c r="M799" s="40"/>
    </row>
    <row r="800">
      <c r="M800" s="40"/>
    </row>
    <row r="801">
      <c r="M801" s="40"/>
    </row>
    <row r="802">
      <c r="M802" s="40"/>
    </row>
    <row r="803">
      <c r="M803" s="40"/>
    </row>
    <row r="804">
      <c r="M804" s="40"/>
    </row>
    <row r="805">
      <c r="M805" s="40"/>
    </row>
    <row r="806">
      <c r="M806" s="40"/>
    </row>
    <row r="807">
      <c r="M807" s="40"/>
    </row>
    <row r="808">
      <c r="M808" s="40"/>
    </row>
    <row r="809">
      <c r="M809" s="40"/>
    </row>
    <row r="810">
      <c r="M810" s="40"/>
    </row>
    <row r="811">
      <c r="M811" s="40"/>
    </row>
    <row r="812">
      <c r="M812" s="40"/>
    </row>
    <row r="813">
      <c r="M813" s="40"/>
    </row>
    <row r="814">
      <c r="M814" s="40"/>
    </row>
    <row r="815">
      <c r="M815" s="40"/>
    </row>
    <row r="816">
      <c r="M816" s="40"/>
    </row>
    <row r="817">
      <c r="M817" s="40"/>
    </row>
    <row r="818">
      <c r="M818" s="40"/>
    </row>
    <row r="819">
      <c r="M819" s="40"/>
    </row>
    <row r="820">
      <c r="M820" s="40"/>
    </row>
    <row r="821">
      <c r="M821" s="40"/>
    </row>
    <row r="822">
      <c r="M822" s="40"/>
    </row>
    <row r="823">
      <c r="M823" s="40"/>
    </row>
    <row r="824">
      <c r="M824" s="40"/>
    </row>
    <row r="825">
      <c r="M825" s="40"/>
    </row>
    <row r="826">
      <c r="M826" s="40"/>
    </row>
    <row r="827">
      <c r="M827" s="40"/>
    </row>
    <row r="828">
      <c r="M828" s="40"/>
    </row>
    <row r="829">
      <c r="M829" s="40"/>
    </row>
    <row r="830">
      <c r="M830" s="40"/>
    </row>
    <row r="831">
      <c r="M831" s="40"/>
    </row>
    <row r="832">
      <c r="M832" s="40"/>
    </row>
    <row r="833">
      <c r="M833" s="40"/>
    </row>
    <row r="834">
      <c r="M834" s="40"/>
    </row>
    <row r="835">
      <c r="M835" s="40"/>
    </row>
    <row r="836">
      <c r="M836" s="40"/>
    </row>
    <row r="837">
      <c r="M837" s="40"/>
    </row>
    <row r="838">
      <c r="M838" s="40"/>
    </row>
    <row r="839">
      <c r="M839" s="40"/>
    </row>
    <row r="840">
      <c r="M840" s="40"/>
    </row>
    <row r="841">
      <c r="M841" s="40"/>
    </row>
    <row r="842">
      <c r="M842" s="40"/>
    </row>
    <row r="843">
      <c r="M843" s="40"/>
    </row>
    <row r="844">
      <c r="M844" s="40"/>
    </row>
    <row r="845">
      <c r="M845" s="40"/>
    </row>
    <row r="846">
      <c r="M846" s="40"/>
    </row>
    <row r="847">
      <c r="M847" s="40"/>
    </row>
    <row r="848">
      <c r="M848" s="40"/>
    </row>
    <row r="849">
      <c r="M849" s="40"/>
    </row>
    <row r="850">
      <c r="M850" s="40"/>
    </row>
    <row r="851">
      <c r="M851" s="40"/>
    </row>
    <row r="852">
      <c r="M852" s="40"/>
    </row>
    <row r="853">
      <c r="M853" s="40"/>
    </row>
    <row r="854">
      <c r="M854" s="40"/>
    </row>
    <row r="855">
      <c r="M855" s="40"/>
    </row>
    <row r="856">
      <c r="M856" s="40"/>
    </row>
    <row r="857">
      <c r="M857" s="40"/>
    </row>
    <row r="858">
      <c r="M858" s="40"/>
    </row>
    <row r="859">
      <c r="M859" s="40"/>
    </row>
    <row r="860">
      <c r="M860" s="40"/>
    </row>
    <row r="861">
      <c r="M861" s="40"/>
    </row>
    <row r="862">
      <c r="M862" s="40"/>
    </row>
    <row r="863">
      <c r="M863" s="40"/>
    </row>
    <row r="864">
      <c r="M864" s="40"/>
    </row>
    <row r="865">
      <c r="M865" s="40"/>
    </row>
    <row r="866">
      <c r="M866" s="40"/>
    </row>
    <row r="867">
      <c r="M867" s="40"/>
    </row>
    <row r="868">
      <c r="M868" s="40"/>
    </row>
    <row r="869">
      <c r="M869" s="40"/>
    </row>
    <row r="870">
      <c r="M870" s="40"/>
    </row>
    <row r="871">
      <c r="M871" s="40"/>
    </row>
    <row r="872">
      <c r="M872" s="40"/>
    </row>
    <row r="873">
      <c r="M873" s="40"/>
    </row>
    <row r="874">
      <c r="M874" s="40"/>
    </row>
    <row r="875">
      <c r="M875" s="40"/>
    </row>
    <row r="876">
      <c r="M876" s="40"/>
    </row>
    <row r="877">
      <c r="M877" s="40"/>
    </row>
    <row r="878">
      <c r="M878" s="40"/>
    </row>
    <row r="879">
      <c r="M879" s="40"/>
    </row>
    <row r="880">
      <c r="M880" s="40"/>
    </row>
    <row r="881">
      <c r="M881" s="40"/>
    </row>
    <row r="882">
      <c r="M882" s="40"/>
    </row>
    <row r="883">
      <c r="M883" s="40"/>
    </row>
    <row r="884">
      <c r="M884" s="40"/>
    </row>
    <row r="885">
      <c r="M885" s="40"/>
    </row>
    <row r="886">
      <c r="M886" s="40"/>
    </row>
    <row r="887">
      <c r="M887" s="40"/>
    </row>
    <row r="888">
      <c r="M888" s="40"/>
    </row>
    <row r="889">
      <c r="M889" s="40"/>
    </row>
    <row r="890">
      <c r="M890" s="40"/>
    </row>
    <row r="891">
      <c r="M891" s="40"/>
    </row>
    <row r="892">
      <c r="M892" s="40"/>
    </row>
    <row r="893">
      <c r="M893" s="40"/>
    </row>
    <row r="894">
      <c r="M894" s="40"/>
    </row>
    <row r="895">
      <c r="M895" s="40"/>
    </row>
    <row r="896">
      <c r="M896" s="40"/>
    </row>
    <row r="897">
      <c r="M897" s="40"/>
    </row>
    <row r="898">
      <c r="M898" s="40"/>
    </row>
    <row r="899">
      <c r="M899" s="40"/>
    </row>
    <row r="900">
      <c r="M900" s="40"/>
    </row>
    <row r="901">
      <c r="M901" s="40"/>
    </row>
    <row r="902">
      <c r="M902" s="40"/>
    </row>
    <row r="903">
      <c r="M903" s="40"/>
    </row>
    <row r="904">
      <c r="M904" s="40"/>
    </row>
    <row r="905">
      <c r="M905" s="40"/>
    </row>
    <row r="906">
      <c r="M906" s="40"/>
    </row>
    <row r="907">
      <c r="M907" s="40"/>
    </row>
    <row r="908">
      <c r="M908" s="40"/>
    </row>
    <row r="909">
      <c r="M909" s="40"/>
    </row>
    <row r="910">
      <c r="M910" s="40"/>
    </row>
    <row r="911">
      <c r="M911" s="40"/>
    </row>
    <row r="912">
      <c r="M912" s="40"/>
    </row>
    <row r="913">
      <c r="M913" s="40"/>
    </row>
    <row r="914">
      <c r="M914" s="40"/>
    </row>
    <row r="915">
      <c r="M915" s="40"/>
    </row>
    <row r="916">
      <c r="M916" s="40"/>
    </row>
    <row r="917">
      <c r="M917" s="40"/>
    </row>
    <row r="918">
      <c r="M918" s="40"/>
    </row>
    <row r="919">
      <c r="M919" s="40"/>
    </row>
    <row r="920">
      <c r="M920" s="40"/>
    </row>
    <row r="921">
      <c r="M921" s="40"/>
    </row>
    <row r="922">
      <c r="M922" s="40"/>
    </row>
    <row r="923">
      <c r="M923" s="40"/>
    </row>
    <row r="924">
      <c r="M924" s="40"/>
    </row>
    <row r="925">
      <c r="M925" s="40"/>
    </row>
    <row r="926">
      <c r="M926" s="40"/>
    </row>
    <row r="927">
      <c r="M927" s="40"/>
    </row>
    <row r="928">
      <c r="M928" s="40"/>
    </row>
    <row r="929">
      <c r="M929" s="40"/>
    </row>
    <row r="930">
      <c r="M930" s="40"/>
    </row>
    <row r="931">
      <c r="M931" s="40"/>
    </row>
    <row r="932">
      <c r="M932" s="40"/>
    </row>
    <row r="933">
      <c r="M933" s="40"/>
    </row>
    <row r="934">
      <c r="M934" s="40"/>
    </row>
    <row r="935">
      <c r="M935" s="40"/>
    </row>
    <row r="936">
      <c r="M936" s="40"/>
    </row>
    <row r="937">
      <c r="M937" s="40"/>
    </row>
    <row r="938">
      <c r="M938" s="40"/>
    </row>
    <row r="939">
      <c r="M939" s="40"/>
    </row>
    <row r="940">
      <c r="M940" s="40"/>
    </row>
    <row r="941">
      <c r="M941" s="40"/>
    </row>
    <row r="942">
      <c r="M942" s="40"/>
    </row>
    <row r="943">
      <c r="M943" s="40"/>
    </row>
    <row r="944">
      <c r="M944" s="40"/>
    </row>
    <row r="945">
      <c r="M945" s="40"/>
    </row>
    <row r="946">
      <c r="M946" s="40"/>
    </row>
    <row r="947">
      <c r="M947" s="40"/>
    </row>
    <row r="948">
      <c r="M948" s="40"/>
    </row>
    <row r="949">
      <c r="M949" s="40"/>
    </row>
    <row r="950">
      <c r="M950" s="40"/>
    </row>
    <row r="951">
      <c r="M951" s="40"/>
    </row>
    <row r="952">
      <c r="M952" s="40"/>
    </row>
    <row r="953">
      <c r="M953" s="40"/>
    </row>
    <row r="954">
      <c r="M954" s="40"/>
    </row>
    <row r="955">
      <c r="M955" s="40"/>
    </row>
    <row r="956">
      <c r="M956" s="40"/>
    </row>
    <row r="957">
      <c r="M957" s="40"/>
    </row>
    <row r="958">
      <c r="M958" s="40"/>
    </row>
    <row r="959">
      <c r="M959" s="40"/>
    </row>
    <row r="960">
      <c r="M960" s="40"/>
    </row>
    <row r="961">
      <c r="M961" s="40"/>
    </row>
    <row r="962">
      <c r="M962" s="40"/>
    </row>
    <row r="963">
      <c r="M963" s="40"/>
    </row>
    <row r="964">
      <c r="M964" s="40"/>
    </row>
    <row r="965">
      <c r="M965" s="40"/>
    </row>
    <row r="966">
      <c r="M966" s="40"/>
    </row>
    <row r="967">
      <c r="M967" s="40"/>
    </row>
    <row r="968">
      <c r="M968" s="40"/>
    </row>
    <row r="969">
      <c r="M969" s="40"/>
    </row>
    <row r="970">
      <c r="M970" s="40"/>
    </row>
    <row r="971">
      <c r="M971" s="40"/>
    </row>
    <row r="972">
      <c r="M972" s="40"/>
    </row>
    <row r="973">
      <c r="M973" s="40"/>
    </row>
    <row r="974">
      <c r="M974" s="40"/>
    </row>
    <row r="975">
      <c r="M975" s="40"/>
    </row>
    <row r="976">
      <c r="M976" s="40"/>
    </row>
    <row r="977">
      <c r="M977" s="40"/>
    </row>
    <row r="978">
      <c r="M978" s="40"/>
    </row>
    <row r="979">
      <c r="M979" s="40"/>
    </row>
    <row r="980">
      <c r="M980" s="40"/>
    </row>
    <row r="981">
      <c r="M981" s="40"/>
    </row>
    <row r="982">
      <c r="M982" s="40"/>
    </row>
    <row r="983">
      <c r="M983" s="40"/>
    </row>
    <row r="984">
      <c r="M984" s="40"/>
    </row>
    <row r="985">
      <c r="M985" s="40"/>
    </row>
    <row r="986">
      <c r="M986" s="40"/>
    </row>
    <row r="987">
      <c r="M987" s="40"/>
    </row>
    <row r="988">
      <c r="M988" s="40"/>
    </row>
    <row r="989">
      <c r="M989" s="40"/>
    </row>
    <row r="990">
      <c r="M990" s="40"/>
    </row>
    <row r="991">
      <c r="M991" s="40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2"/>
      <c r="B1" s="43" t="s">
        <v>170</v>
      </c>
      <c r="X1" s="44" t="s">
        <v>171</v>
      </c>
      <c r="AE1" s="45"/>
      <c r="AF1" s="46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8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50"/>
      <c r="BN1" s="49"/>
      <c r="BO1" s="49"/>
      <c r="BP1" s="49"/>
      <c r="BQ1" s="49"/>
      <c r="BR1" s="50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51"/>
      <c r="CJ1" s="49"/>
      <c r="CK1" s="52"/>
      <c r="CL1" s="53"/>
      <c r="CM1" s="52"/>
      <c r="CN1" s="52"/>
      <c r="CO1" s="52"/>
      <c r="CP1" s="52"/>
      <c r="CQ1" s="52"/>
      <c r="CR1" s="52"/>
      <c r="CS1" s="53"/>
      <c r="CT1" s="52"/>
      <c r="CU1" s="52"/>
      <c r="CV1" s="53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</row>
    <row r="2" ht="53.25" customHeight="1">
      <c r="A2" s="54"/>
      <c r="B2" s="55" t="s">
        <v>172</v>
      </c>
      <c r="C2" s="56"/>
      <c r="D2" s="57"/>
      <c r="E2" s="58" t="str">
        <f>'Пр.взв'!C2</f>
        <v>Первенство России среди юношей и девушек 16-18 лет (отбор на первенство мира и Европы)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9"/>
      <c r="AE2" s="45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60">
        <f>'Пр.взв'!O3</f>
        <v>24</v>
      </c>
      <c r="AZ2" s="61"/>
      <c r="BA2" s="62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50"/>
      <c r="BN2" s="49"/>
      <c r="BO2" s="49"/>
      <c r="BP2" s="49"/>
      <c r="BQ2" s="49"/>
      <c r="BR2" s="50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63"/>
      <c r="CK2" s="52"/>
      <c r="CL2" s="53"/>
      <c r="CM2" s="52"/>
      <c r="CN2" s="52"/>
      <c r="CO2" s="52"/>
      <c r="CP2" s="52"/>
      <c r="CQ2" s="52"/>
      <c r="CR2" s="52"/>
      <c r="CS2" s="53"/>
      <c r="CT2" s="52"/>
      <c r="CU2" s="52"/>
      <c r="CV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</row>
    <row r="3">
      <c r="A3" s="64"/>
      <c r="B3" s="65" t="str">
        <f>'Пр.взв'!C3</f>
        <v>30.01 - 04.02.2022 г.                                                                                        г.Кстово</v>
      </c>
      <c r="P3" s="66"/>
      <c r="Q3" s="67" t="str">
        <f>AY3&amp;" "&amp;AZ3</f>
        <v>24 участников</v>
      </c>
      <c r="Y3" s="66"/>
      <c r="Z3" s="68" t="str">
        <f>'Пр.взв'!G4</f>
        <v>В.к.  44  кг</v>
      </c>
      <c r="AD3" s="66"/>
      <c r="AE3" s="69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1">
        <f>AY2</f>
        <v>24</v>
      </c>
      <c r="AZ3" s="72" t="s">
        <v>5</v>
      </c>
      <c r="BC3" s="49">
        <f>AY2/2+0.5</f>
        <v>12.5</v>
      </c>
      <c r="BE3" s="49"/>
      <c r="BF3" s="49"/>
      <c r="BG3" s="49"/>
      <c r="BH3" s="48"/>
      <c r="BI3" s="49"/>
      <c r="BJ3" s="49"/>
      <c r="BK3" s="73"/>
      <c r="BL3" s="49"/>
      <c r="BM3" s="50"/>
      <c r="BN3" s="49"/>
      <c r="BO3" s="49"/>
      <c r="BP3" s="49"/>
      <c r="BQ3" s="49"/>
      <c r="BR3" s="50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74"/>
      <c r="CJ3" s="49"/>
      <c r="CK3" s="52"/>
      <c r="CL3" s="75"/>
      <c r="CM3" s="52"/>
      <c r="CN3" s="52"/>
      <c r="CO3" s="52"/>
      <c r="CP3" s="52"/>
      <c r="CQ3" s="52"/>
      <c r="CR3" s="52"/>
      <c r="CS3" s="75"/>
      <c r="CT3" s="52"/>
      <c r="CU3" s="52"/>
      <c r="CV3" s="75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</row>
    <row r="4">
      <c r="A4" s="76"/>
      <c r="B4" s="77" t="s">
        <v>9</v>
      </c>
      <c r="C4" s="78" t="s">
        <v>10</v>
      </c>
      <c r="D4" s="79" t="s">
        <v>12</v>
      </c>
      <c r="E4" s="80" t="s">
        <v>14</v>
      </c>
      <c r="F4" s="81" t="s">
        <v>173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3"/>
      <c r="AB4" s="84" t="s">
        <v>174</v>
      </c>
      <c r="AC4" s="85" t="s">
        <v>175</v>
      </c>
      <c r="AD4" s="86" t="s">
        <v>176</v>
      </c>
      <c r="AE4" s="87"/>
      <c r="AF4" s="88" t="s">
        <v>176</v>
      </c>
      <c r="AG4" s="89"/>
      <c r="AH4" s="90">
        <v>1.0</v>
      </c>
      <c r="AI4" s="90">
        <v>2.0</v>
      </c>
      <c r="AJ4" s="90">
        <v>3.0</v>
      </c>
      <c r="AK4" s="90">
        <v>4.0</v>
      </c>
      <c r="AL4" s="90">
        <v>5.0</v>
      </c>
      <c r="AM4" s="90">
        <v>6.0</v>
      </c>
      <c r="AN4" s="90">
        <v>7.0</v>
      </c>
      <c r="AO4" s="90">
        <v>8.0</v>
      </c>
      <c r="AP4" s="91" t="s">
        <v>177</v>
      </c>
      <c r="AQ4" s="90" t="s">
        <v>178</v>
      </c>
      <c r="AR4" s="92" t="s">
        <v>179</v>
      </c>
      <c r="AS4" s="92" t="s">
        <v>176</v>
      </c>
      <c r="AT4" s="70"/>
      <c r="AU4" s="70"/>
      <c r="AV4" s="70"/>
      <c r="AW4" s="70"/>
      <c r="AX4" s="70"/>
      <c r="AY4" s="93">
        <v>5.0</v>
      </c>
      <c r="AZ4" s="63" t="s">
        <v>180</v>
      </c>
      <c r="BB4" s="49"/>
      <c r="BC4" s="94" t="s">
        <v>181</v>
      </c>
      <c r="BE4" s="95">
        <f>SUM(AY4*AY2,AY8,BA8,BC8,BE8)</f>
        <v>195</v>
      </c>
      <c r="BG4" s="96" t="s">
        <v>180</v>
      </c>
      <c r="BI4" s="63" t="s">
        <v>180</v>
      </c>
      <c r="BL4" s="49"/>
      <c r="BM4" s="97"/>
      <c r="BN4" s="98"/>
      <c r="BO4" s="98"/>
      <c r="BP4" s="98"/>
      <c r="BQ4" s="99"/>
      <c r="BR4" s="100" t="s">
        <v>182</v>
      </c>
      <c r="BS4" s="49"/>
      <c r="BT4" s="49"/>
      <c r="BU4" s="49"/>
      <c r="BV4" s="49"/>
      <c r="BW4" s="101" t="s">
        <v>183</v>
      </c>
      <c r="BX4" s="102"/>
      <c r="BY4" s="102"/>
      <c r="BZ4" s="102"/>
      <c r="CA4" s="102"/>
      <c r="CB4" s="102"/>
      <c r="CC4" s="102"/>
      <c r="CD4" s="103"/>
      <c r="CE4" s="104" t="s">
        <v>184</v>
      </c>
      <c r="CF4" s="104"/>
      <c r="CG4" s="104"/>
      <c r="CH4" s="104"/>
      <c r="CI4" s="74"/>
      <c r="CJ4" s="104" t="s">
        <v>185</v>
      </c>
      <c r="CK4" s="53"/>
      <c r="CL4" s="75"/>
      <c r="CM4" s="52"/>
      <c r="CN4" s="52"/>
      <c r="CO4" s="53" t="s">
        <v>186</v>
      </c>
      <c r="CP4" s="53"/>
      <c r="CQ4" s="53"/>
      <c r="CR4" s="53"/>
      <c r="CS4" s="75"/>
      <c r="CT4" s="53" t="s">
        <v>187</v>
      </c>
      <c r="CU4" s="53"/>
      <c r="CV4" s="75"/>
      <c r="CW4" s="52"/>
      <c r="CX4" s="52"/>
      <c r="CY4" s="53" t="s">
        <v>188</v>
      </c>
      <c r="CZ4" s="52"/>
      <c r="DA4" s="52"/>
      <c r="DB4" s="52"/>
      <c r="DC4" s="52"/>
      <c r="DD4" s="52"/>
      <c r="DE4" s="52"/>
      <c r="DF4" s="52"/>
      <c r="DG4" s="52"/>
      <c r="DH4" s="52"/>
    </row>
    <row r="5">
      <c r="B5" s="105"/>
      <c r="C5" s="106"/>
      <c r="D5" s="107"/>
      <c r="E5" s="108"/>
      <c r="F5" s="109">
        <v>1.0</v>
      </c>
      <c r="G5" s="110"/>
      <c r="H5" s="109">
        <v>2.0</v>
      </c>
      <c r="I5" s="110"/>
      <c r="J5" s="109">
        <v>3.0</v>
      </c>
      <c r="K5" s="110"/>
      <c r="L5" s="111">
        <v>4.0</v>
      </c>
      <c r="M5" s="110"/>
      <c r="N5" s="109">
        <v>5.0</v>
      </c>
      <c r="O5" s="110"/>
      <c r="P5" s="111">
        <v>6.0</v>
      </c>
      <c r="Q5" s="110"/>
      <c r="R5" s="109">
        <v>7.0</v>
      </c>
      <c r="S5" s="110"/>
      <c r="T5" s="111">
        <v>8.0</v>
      </c>
      <c r="U5" s="110"/>
      <c r="V5" s="111" t="s">
        <v>189</v>
      </c>
      <c r="W5" s="110"/>
      <c r="X5" s="109" t="s">
        <v>190</v>
      </c>
      <c r="Y5" s="110"/>
      <c r="Z5" s="109" t="s">
        <v>191</v>
      </c>
      <c r="AA5" s="110"/>
      <c r="AB5" s="108"/>
      <c r="AC5" s="108"/>
      <c r="AD5" s="112"/>
      <c r="AE5" s="66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70"/>
      <c r="AU5" s="70"/>
      <c r="AV5" s="70"/>
      <c r="AW5" s="70"/>
      <c r="AX5" s="70"/>
      <c r="AY5" s="70"/>
      <c r="AZ5" s="114" t="s">
        <v>192</v>
      </c>
      <c r="BA5" s="115" t="s">
        <v>193</v>
      </c>
      <c r="BB5" s="116" t="s">
        <v>191</v>
      </c>
      <c r="BC5" s="117"/>
      <c r="BD5" s="117"/>
      <c r="BE5" s="117"/>
      <c r="BF5" s="117"/>
      <c r="BG5" s="117"/>
      <c r="BH5" s="117"/>
      <c r="BI5" s="118"/>
      <c r="BJ5" s="118"/>
      <c r="BK5" s="49"/>
      <c r="BL5" s="49"/>
      <c r="BM5" s="119"/>
      <c r="BN5" s="49"/>
      <c r="BO5" s="104"/>
      <c r="BP5" s="104">
        <v>1.0</v>
      </c>
      <c r="BQ5" s="120">
        <f>IFERROR(__xludf.DUMMYFUNCTION("QUERY(BP5:BP164,""select BP where BP is not null"")"),1.0)</f>
        <v>1</v>
      </c>
      <c r="BR5" s="50"/>
      <c r="BS5" s="49"/>
      <c r="BT5" s="49"/>
      <c r="BU5" s="104">
        <v>1.0</v>
      </c>
      <c r="BV5" s="121">
        <f>IFERROR(__xludf.DUMMYFUNCTION("QUERY(BU5:BU164,""select BU where BU is not null"")"),1.0)</f>
        <v>1</v>
      </c>
      <c r="BW5" s="122"/>
      <c r="BX5" s="49"/>
      <c r="BY5" s="49"/>
      <c r="BZ5" s="104">
        <v>1.0</v>
      </c>
      <c r="CA5" s="121">
        <f>IFERROR(__xludf.DUMMYFUNCTION("QUERY(BZ5:BZ164,""select BZ where BZ is not null"")"),1.0)</f>
        <v>1</v>
      </c>
      <c r="CB5" s="49"/>
      <c r="CC5" s="49"/>
      <c r="CD5" s="123"/>
      <c r="CE5" s="49"/>
      <c r="CF5" s="49"/>
      <c r="CG5" s="104"/>
      <c r="CH5" s="104">
        <v>1.0</v>
      </c>
      <c r="CI5" s="121">
        <f>IFERROR(__xludf.DUMMYFUNCTION("QUERY(CH5:CH164,""select CH where CH is not null"")"),1.0)</f>
        <v>1</v>
      </c>
      <c r="CJ5" s="104"/>
      <c r="CK5" s="124"/>
      <c r="CL5" s="75"/>
      <c r="CM5" s="53">
        <v>1.0</v>
      </c>
      <c r="CN5" s="121">
        <f>IFERROR(__xludf.DUMMYFUNCTION("QUERY(CM5:CM164,""select CM where CM is not null"")"),1.0)</f>
        <v>1</v>
      </c>
      <c r="CO5" s="52"/>
      <c r="CP5" s="52"/>
      <c r="CQ5" s="52"/>
      <c r="CR5" s="53">
        <v>1.0</v>
      </c>
      <c r="CS5" s="121">
        <f>IFERROR(__xludf.DUMMYFUNCTION("QUERY(CR5:CR164,""select CR where CR is not null"")"),1.0)</f>
        <v>1</v>
      </c>
      <c r="CT5" s="52"/>
      <c r="CU5" s="52"/>
      <c r="CV5" s="75"/>
      <c r="CW5" s="53">
        <v>1.0</v>
      </c>
      <c r="CX5" s="121">
        <f>IFERROR(__xludf.DUMMYFUNCTION("QUERY(CW5:CW164,""select CW where CW is not null"")"),1.0)</f>
        <v>1</v>
      </c>
      <c r="CY5" s="52"/>
      <c r="CZ5" s="52"/>
      <c r="DA5" s="75"/>
      <c r="DB5" s="53">
        <v>1.0</v>
      </c>
      <c r="DC5" s="121">
        <f>IFERROR(__xludf.DUMMYFUNCTION("QUERY(DB5:DB164,""select DB where DB is not null"")"),1.0)</f>
        <v>1</v>
      </c>
      <c r="DD5" s="121"/>
      <c r="DE5" s="121"/>
      <c r="DF5" s="121"/>
      <c r="DG5" s="121"/>
      <c r="DH5" s="121"/>
    </row>
    <row r="6" ht="13.5" customHeight="1">
      <c r="A6" s="125"/>
      <c r="B6" s="126">
        <v>1.0</v>
      </c>
      <c r="C6" s="127" t="str">
        <f>(VLOOKUP($B6,'Пр.взв'!$D$6:$J$63,2,0))</f>
        <v>ТЯПКИНА Анна</v>
      </c>
      <c r="D6" s="128" t="str">
        <f>(VLOOKUP($B6,'Пр.взв'!$D$6:$J$63,5,0))</f>
        <v>2р</v>
      </c>
      <c r="E6" s="129" t="str">
        <f>(VLOOKUP($B6,'Пр.взв'!$D$6:$M$63,8,0))</f>
        <v>Нижегородская</v>
      </c>
      <c r="F6" s="130">
        <v>2.0</v>
      </c>
      <c r="G6" s="131"/>
      <c r="H6" s="132">
        <v>3.0</v>
      </c>
      <c r="I6" s="131"/>
      <c r="J6" s="133" t="str">
        <f>IF(H6="Х","Х",IF($AC6&lt;6," ","Х"))</f>
        <v> </v>
      </c>
      <c r="K6" s="134"/>
      <c r="L6" s="133" t="str">
        <f>IF(J6="Х","Х",IF(K6&lt;3," ",IF($AC6&lt;6," ","Х")))</f>
        <v> </v>
      </c>
      <c r="M6" s="134"/>
      <c r="N6" s="133" t="str">
        <f>IF(L6="Х","Х",IF(M6&lt;3," ",IF($AC6&lt;6," ","Х")))</f>
        <v> </v>
      </c>
      <c r="O6" s="134"/>
      <c r="P6" s="133" t="str">
        <f>IF(N6="Х","Х",IF(O6&lt;3," ",IF($AC6&lt;6," ","Х")))</f>
        <v> </v>
      </c>
      <c r="Q6" s="134"/>
      <c r="R6" s="133" t="str">
        <f>IF(P6="Х","Х",IF(Q6&lt;3," ",IF($AC6&lt;6," ","Х")))</f>
        <v> </v>
      </c>
      <c r="S6" s="134"/>
      <c r="T6" s="133" t="str">
        <f>IF(R6="Х","Х",IF(S6&lt;3," ",IF($AC6&lt;6," ","Х")))</f>
        <v> </v>
      </c>
      <c r="U6" s="135"/>
      <c r="V6" s="133" t="str">
        <f>IF(T6="Х","Х",IF(U6&lt;3," ",IF($AC6&lt;6," ","Х")))</f>
        <v> </v>
      </c>
      <c r="W6" s="135"/>
      <c r="X6" s="133" t="str">
        <f>IF(V6="А1",$AZ$7,IF(V6="Б2",$AZ$6,IF(V6="Б1",$BA$7,IF(V6="А2",$BA$6,IF(V6="Х","Х",IF(V6&lt;6," "," "))))))</f>
        <v> </v>
      </c>
      <c r="Y6" s="136"/>
      <c r="Z6" s="133" t="str">
        <f>IF(V6="Х","Х",IF(ISBLANK(Y6),"",IF(Y6&gt;2.5," ",IF(B6=BB$6,BB$7,BB$6))))</f>
        <v/>
      </c>
      <c r="AA6" s="136"/>
      <c r="AB6" s="137" t="str">
        <f>IF(H6="Х",F$5,IF(J6="Х",H$5,IF(L6="Х",J$5,IF(N6="Х",L$5,IF(P6="Х",N$5,IF(R6="Х",P$5,IF(T6="Х",R$5,IF(X6="Х",T$5,""))))))))</f>
        <v/>
      </c>
      <c r="AC6" s="138">
        <f>SUM(G6+I6+K6+M6+O6+Q6+S6+U6+Y6+AA6)</f>
        <v>0</v>
      </c>
      <c r="AD6" s="139" t="str">
        <f>AF6</f>
        <v>1-24</v>
      </c>
      <c r="AE6" s="140" t="str">
        <f>AD6</f>
        <v>1-24</v>
      </c>
      <c r="AF6" s="141" t="str">
        <f>COUNTIF(AG$6:AG$148,"&gt;"&amp;AG$6:AG$148)+1&amp;REPT("-"&amp;COUNTIF(AG$6:AG$148,"&gt;="&amp;AG$6:AG$148),COUNTIF(AG$6:AG$148,AG6)&gt;1)</f>
        <v>1-24</v>
      </c>
      <c r="AG6" s="142">
        <f>(AR6*100)+(AP6*10)-AC6</f>
        <v>1280</v>
      </c>
      <c r="AH6" s="143" t="str">
        <f>IF(OR(F6="Х",F6="св")," ",IF(AND(G6&gt;=0,G6&lt;3),"1"," "))</f>
        <v>1</v>
      </c>
      <c r="AI6" s="90" t="str">
        <f>IF(OR(H6="Х",H6="св")," ",IF(AND(I6&gt;=0,I6&lt;3),"1"," "))</f>
        <v>1</v>
      </c>
      <c r="AJ6" s="90" t="str">
        <f>IF(OR(J6="Х",J6="св")," ",IF(AND(K6&gt;=0,K6&lt;3),"1"," "))</f>
        <v>1</v>
      </c>
      <c r="AK6" s="90" t="str">
        <f>IF(OR(L6="Х",L6="св")," ",IF(AND(M6&gt;=0,M6&lt;3),"1"," "))</f>
        <v>1</v>
      </c>
      <c r="AL6" s="90" t="str">
        <f>IF(OR(N6="Х",N6="св")," ",IF(AND(O6&gt;=0,O6&lt;3),"1"," "))</f>
        <v>1</v>
      </c>
      <c r="AM6" s="90" t="str">
        <f>IF(OR(P6="Х",P6="св")," ",IF(AND(Q6&gt;=0,Q6&lt;3),"1"," "))</f>
        <v>1</v>
      </c>
      <c r="AN6" s="90" t="str">
        <f>IF(OR(R6="Х",R6="св")," ",IF(AND(S6&gt;=0,S6&lt;3),"1"," "))</f>
        <v>1</v>
      </c>
      <c r="AO6" s="90" t="str">
        <f>IF(OR(T6="Х",T6="св")," ",IF(AND(U6&gt;=0,U6&lt;3),"1"," "))</f>
        <v>1</v>
      </c>
      <c r="AP6" s="90">
        <f>COUNTIF(AH6:AO7,1)</f>
        <v>8</v>
      </c>
      <c r="AQ6" s="90">
        <f>AG6-AC6</f>
        <v>1280</v>
      </c>
      <c r="AR6" s="144">
        <f>IF(F6=0,0,IF(F6="Х",1,IF(H6="Х",2,IF(J6="Х",3,IF(L6="Х",4,IF(N6="Х",5,IF(P6="Х",6,IF(R6="Х",7,IF(T6="Х",8,IF(V6="Х",9,IF(Y6&gt;2.5,10,IF(AA6&gt;2.5,11,IF(AA6&gt;=0,12,IF(AA6=" ",0,))))))))))))))</f>
        <v>12</v>
      </c>
      <c r="AS6" s="90" t="str">
        <f>COUNTIF(AG$6:AG$134,"&gt;"&amp;AG$6:AG$134)+1&amp;REPT("-"&amp;COUNTIF(AG$6:AG$134,"&gt;="&amp;AG$6:AG$134),COUNTIF(AG$6:AG$134,AG6)&gt;1)</f>
        <v>1-24</v>
      </c>
      <c r="AT6" s="143" t="str">
        <f t="shared" ref="AT6:AW6" si="1">COUNTIF(AU$6:AU$134,"&gt;"&amp;AU$6:AU$134)+1&amp;REPT("-"&amp;COUNTIF(AU$6:AU$134,"&gt;="&amp;AU$6:AU$134),COUNTIF(AU$6:AU$134,AU6)&gt;1)</f>
        <v>1-64</v>
      </c>
      <c r="AU6" s="143" t="str">
        <f t="shared" si="1"/>
        <v>1-0</v>
      </c>
      <c r="AV6" s="143" t="str">
        <f t="shared" si="1"/>
        <v>1</v>
      </c>
      <c r="AW6" s="143" t="str">
        <f t="shared" si="1"/>
        <v>64</v>
      </c>
      <c r="AX6" s="145">
        <f>IF(X6="Х","Х",IF(Y6&lt;3,B6,"Х"))</f>
        <v>1</v>
      </c>
      <c r="AY6" s="146"/>
      <c r="AZ6" s="147" t="str">
        <f t="array" ref="AZ6">INDEX(B6:V134,MATCH("А1",V6:V134,0),MATCH("№ п/ж",B4:C4,0))</f>
        <v>#N/A</v>
      </c>
      <c r="BA6" s="147" t="str">
        <f t="array" ref="BA6">INDEX(B6:V134,MATCH("Б1",V6:V134,0),MATCH("№ п/ж",B4:C4,0))</f>
        <v>#N/A</v>
      </c>
      <c r="BB6" s="147" t="str">
        <f>IF(ISERROR(BC6),AZ7,AZ6)</f>
        <v>#N/A</v>
      </c>
      <c r="BC6" s="148" t="str">
        <f t="array" ref="BC6">INDEX(B$6:V$134,MATCH(AZ6,AX$6:AX$134,0),MATCH("№ п/ж",B$4:C$4,0))</f>
        <v>#N/A</v>
      </c>
      <c r="BD6" s="147" t="str">
        <f t="shared" ref="BD6:BD7" si="2">INDEX(B$6:V$134,MATCH(BA6,AX$6:AX$134,0),MATCH("№ п/ж",B$4:C$4,0))</f>
        <v>#N/A</v>
      </c>
      <c r="BE6" s="149"/>
      <c r="BF6" s="149"/>
      <c r="BG6" s="146"/>
      <c r="BH6" s="146"/>
      <c r="BI6" s="150"/>
      <c r="BJ6" s="150"/>
      <c r="BK6" s="49"/>
      <c r="BL6" s="49"/>
      <c r="BM6" s="151">
        <f t="array" ref="BM6:BM164">IF($B6:$B164="","",(IF(F6:F164="х"," ",$B6:$B164)))</f>
        <v>1</v>
      </c>
      <c r="BN6" s="152">
        <f t="array" ref="BN6:BN164">IF(BR6:BR164=" "," ",F6:F164)</f>
        <v>2</v>
      </c>
      <c r="BO6" s="153">
        <f>IF(BM6&lt;BN6,BM6,"")</f>
        <v>1</v>
      </c>
      <c r="BP6" s="154">
        <f t="array" ref="BP6:BP164">IF(BO6:BO164="св",0,BO6:BO164)</f>
        <v>1</v>
      </c>
      <c r="BQ6" s="155">
        <f>IFERROR(__xludf.DUMMYFUNCTION("""COMPUTED_VALUE"""),1.0)</f>
        <v>1</v>
      </c>
      <c r="BR6" s="156">
        <f t="array" ref="BR6:BR164">IF($H6:$H164="","",(IF(H6:H164="х"," ",$B6:$B164)))</f>
        <v>1</v>
      </c>
      <c r="BS6" s="157">
        <f t="array" ref="BS6:BS164">IF(BR6:BR164=" "," ",H6:H164)</f>
        <v>3</v>
      </c>
      <c r="BT6" s="153">
        <f>IF(BR6&lt;BS6,BR6,"")</f>
        <v>1</v>
      </c>
      <c r="BU6" s="154">
        <f t="array" ref="BU6:BU164">IF(BT6:BT164="св",0,BT6:BT164)</f>
        <v>1</v>
      </c>
      <c r="BV6" s="158">
        <f>IFERROR(__xludf.DUMMYFUNCTION("""COMPUTED_VALUE"""),1.0)</f>
        <v>1</v>
      </c>
      <c r="BW6" s="159">
        <f t="array" ref="BW6:BW164">IF($J6:$J164="","",(IF(J6:J164="х"," ",$B6:$B164)))</f>
        <v>1</v>
      </c>
      <c r="BX6" s="74" t="str">
        <f t="array" ref="BX6:BX164">IF(BW6:BW164=" "," ",J6:J164)</f>
        <v> </v>
      </c>
      <c r="BY6" s="160">
        <f t="array" ref="BY6">IF(BW6&lt;BX6,BW6,"")</f>
        <v>1</v>
      </c>
      <c r="BZ6" s="160">
        <f t="shared" ref="BZ6:BZ29" si="3">IF(BY6="св",0,BY6)</f>
        <v>1</v>
      </c>
      <c r="CA6" s="161">
        <f>IFERROR(__xludf.DUMMYFUNCTION("""COMPUTED_VALUE"""),1.0)</f>
        <v>1</v>
      </c>
      <c r="CB6" s="74">
        <f t="shared" ref="CB6:CB29" si="4">IF(CA6=0,"св",CA6)</f>
        <v>1</v>
      </c>
      <c r="CC6" s="152" t="str">
        <f>IFERROR(__xludf.DUMMYFUNCTION("QUERY(BY6:BZ164,""select BW,BX where BX is not null"")"),"#VALUE!")</f>
        <v>#VALUE!</v>
      </c>
      <c r="CD6" s="162"/>
      <c r="CE6" s="156">
        <f t="array" ref="CE6:CE164">IF($B6:$B164="","",(IF(L6:L164="х"," ",$B6:$B164)))</f>
        <v>1</v>
      </c>
      <c r="CF6" s="157" t="str">
        <f t="array" ref="CF6:CF164">IF(CE6:CE164=" "," ",L6:L164)</f>
        <v> </v>
      </c>
      <c r="CG6" s="153">
        <f t="array" ref="CG6">IF(CE6&lt;CF6,CE6,"")</f>
        <v>1</v>
      </c>
      <c r="CH6" s="154">
        <f t="array" ref="CH6:CH164">IF(CG6:CG164="св",0,CG6:CG164)</f>
        <v>1</v>
      </c>
      <c r="CI6" s="163">
        <f>IFERROR(__xludf.DUMMYFUNCTION("""COMPUTED_VALUE"""),1.0)</f>
        <v>1</v>
      </c>
      <c r="CJ6" s="164">
        <f t="array" ref="CJ6:CJ164">IF($B6:$B164="","",(IF(N6:N164="х"," ",$B6:$B164)))</f>
        <v>1</v>
      </c>
      <c r="CK6" s="157" t="str">
        <f t="array" ref="CK6:CK164">IF(CJ6:CJ164=" "," ",N6:N164)</f>
        <v> </v>
      </c>
      <c r="CL6" s="153">
        <f t="array" ref="CL6">IF(CJ6&lt;CK6,CJ6,"")</f>
        <v>1</v>
      </c>
      <c r="CM6" s="154">
        <f t="array" ref="CM6:CM164">IF(CL6:CL164="св",0,CL6:CL164)</f>
        <v>1</v>
      </c>
      <c r="CN6" s="163">
        <f>IFERROR(__xludf.DUMMYFUNCTION("""COMPUTED_VALUE"""),1.0)</f>
        <v>1</v>
      </c>
      <c r="CO6" s="164">
        <f t="array" ref="CO6:CO164">IF($B6:$B164="","",(IF(P6:P164="х"," ",$B6:$B164)))</f>
        <v>1</v>
      </c>
      <c r="CP6" s="157" t="str">
        <f t="array" ref="CP6:CP164">IF(CO6:CO164=" "," ",P6:P164)</f>
        <v> </v>
      </c>
      <c r="CQ6" s="153">
        <f t="array" ref="CQ6">IF(CO6&lt;CP6,CO6,"")</f>
        <v>1</v>
      </c>
      <c r="CR6" s="154">
        <f t="array" ref="CR6:CR164">IF(CQ6:CQ164="св",0,CQ6:CQ164)</f>
        <v>1</v>
      </c>
      <c r="CS6" s="163">
        <f>IFERROR(__xludf.DUMMYFUNCTION("""COMPUTED_VALUE"""),1.0)</f>
        <v>1</v>
      </c>
      <c r="CT6" s="164">
        <f t="array" ref="CT6:CT164">IF($B6:$B164="","",(IF(R6:R164="х"," ",$B6:$B164)))</f>
        <v>1</v>
      </c>
      <c r="CU6" s="157" t="str">
        <f t="array" ref="CU6:CU164">IF(CT6:CT164=" "," ",R6:R164)</f>
        <v> </v>
      </c>
      <c r="CV6" s="153">
        <f t="array" ref="CV6">IF(CT6&lt;CU6,CT6,"")</f>
        <v>1</v>
      </c>
      <c r="CW6" s="154">
        <f t="array" ref="CW6:CW164">IF(CV6:CV164="св",0,CV6:CV164)</f>
        <v>1</v>
      </c>
      <c r="CX6" s="163">
        <f>IFERROR(__xludf.DUMMYFUNCTION("""COMPUTED_VALUE"""),1.0)</f>
        <v>1</v>
      </c>
      <c r="CY6" s="164">
        <f t="array" ref="CY6:CY164">IF($B6:$B164="","",(IF(T6:T164="х"," ",$B6:$B164)))</f>
        <v>1</v>
      </c>
      <c r="CZ6" s="157" t="str">
        <f t="array" ref="CZ6:CZ164">IF(CY6:CY164=" "," ",T6:T164)</f>
        <v> </v>
      </c>
      <c r="DA6" s="153">
        <f t="array" ref="DA6">IF(CY6&lt;CZ6,CY6,"")</f>
        <v>1</v>
      </c>
      <c r="DB6" s="154">
        <f t="array" ref="DB6:DB164">IF(DA6:DA164="св",0,DA6:DA164)</f>
        <v>1</v>
      </c>
      <c r="DC6" s="163">
        <f>IFERROR(__xludf.DUMMYFUNCTION("""COMPUTED_VALUE"""),1.0)</f>
        <v>1</v>
      </c>
      <c r="DD6" s="164">
        <f t="array" ref="DD6:DD164">IF($B6:$B164="","",(IF(T6:T164="х"," ",$B6:$B164)))</f>
        <v>1</v>
      </c>
      <c r="DE6" s="161"/>
      <c r="DF6" s="161"/>
      <c r="DG6" s="161"/>
      <c r="DH6" s="161"/>
    </row>
    <row r="7" ht="13.5" customHeight="1">
      <c r="B7" s="165"/>
      <c r="C7" s="165"/>
      <c r="D7" s="165"/>
      <c r="E7" s="165"/>
      <c r="F7" s="166"/>
      <c r="G7" s="167"/>
      <c r="H7" s="168"/>
      <c r="I7" s="167"/>
      <c r="J7" s="168"/>
      <c r="K7" s="167"/>
      <c r="L7" s="168"/>
      <c r="M7" s="167"/>
      <c r="N7" s="168"/>
      <c r="O7" s="167"/>
      <c r="P7" s="168"/>
      <c r="Q7" s="167"/>
      <c r="R7" s="168"/>
      <c r="S7" s="167"/>
      <c r="T7" s="168"/>
      <c r="U7" s="169"/>
      <c r="V7" s="168"/>
      <c r="W7" s="169"/>
      <c r="X7" s="168"/>
      <c r="Y7" s="167"/>
      <c r="Z7" s="168"/>
      <c r="AA7" s="167"/>
      <c r="AB7" s="166"/>
      <c r="AC7" s="165"/>
      <c r="AD7" s="168"/>
      <c r="AE7" s="170"/>
      <c r="AF7" s="171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Y7" s="146"/>
      <c r="AZ7" s="147" t="str">
        <f t="array" ref="AZ7">INDEX(B6:V134,MATCH("Б2",V6:V134,0),MATCH("№ п/ж",B4:C4,0))</f>
        <v>#N/A</v>
      </c>
      <c r="BA7" s="172" t="str">
        <f t="array" ref="BA7">INDEX(B6:V134,MATCH("А2",V6:V134,0),MATCH("№ п/ж",B4:C4,0))</f>
        <v>#N/A</v>
      </c>
      <c r="BB7" s="147" t="str">
        <f>IF(ISERROR(BD6),BA7,BA6)</f>
        <v>#N/A</v>
      </c>
      <c r="BC7" s="148" t="str">
        <f t="array" ref="BC7">INDEX(B6:V118,MATCH(AZ7,AX6:AX118,0),MATCH("№ п/ж",B4:C4,0))</f>
        <v>#N/A</v>
      </c>
      <c r="BD7" s="147" t="str">
        <f t="shared" si="2"/>
        <v>#N/A</v>
      </c>
      <c r="BE7" s="149"/>
      <c r="BF7" s="149"/>
      <c r="BG7" s="146"/>
      <c r="BH7" s="146"/>
      <c r="BI7" s="150"/>
      <c r="BJ7" s="150"/>
      <c r="BK7" s="49"/>
      <c r="BL7" s="49"/>
      <c r="BM7" s="173"/>
      <c r="BN7" s="174"/>
      <c r="BO7" s="175">
        <f>IF(BO6="","",BN6)</f>
        <v>2</v>
      </c>
      <c r="BP7" s="160">
        <v>2.0</v>
      </c>
      <c r="BQ7" s="176">
        <f>IFERROR(__xludf.DUMMYFUNCTION("""COMPUTED_VALUE"""),2.0)</f>
        <v>2</v>
      </c>
      <c r="BR7" s="174"/>
      <c r="BS7" s="174"/>
      <c r="BT7" s="175">
        <f>IF(BT6="","",BS6)</f>
        <v>3</v>
      </c>
      <c r="BU7" s="160">
        <v>3.0</v>
      </c>
      <c r="BV7" s="177">
        <f>IFERROR(__xludf.DUMMYFUNCTION("""COMPUTED_VALUE"""),3.0)</f>
        <v>3</v>
      </c>
      <c r="BW7" s="178"/>
      <c r="BY7" s="160" t="str">
        <f>IF(BY6="","",BX6)</f>
        <v> </v>
      </c>
      <c r="BZ7" s="160" t="str">
        <f t="shared" si="3"/>
        <v> </v>
      </c>
      <c r="CA7" s="74">
        <f>IFERROR(__xludf.DUMMYFUNCTION("""COMPUTED_VALUE"""),2.0)</f>
        <v>2</v>
      </c>
      <c r="CB7" s="74">
        <f t="shared" si="4"/>
        <v>2</v>
      </c>
      <c r="CC7" s="74"/>
      <c r="CD7" s="179"/>
      <c r="CE7" s="174"/>
      <c r="CF7" s="174"/>
      <c r="CG7" s="180" t="str">
        <f>IF(CG6="","",CF6)</f>
        <v> </v>
      </c>
      <c r="CH7" s="181" t="s">
        <v>194</v>
      </c>
      <c r="CI7" s="182">
        <f>IFERROR(__xludf.DUMMYFUNCTION("""COMPUTED_VALUE"""),2.0)</f>
        <v>2</v>
      </c>
      <c r="CJ7" s="183"/>
      <c r="CK7" s="174"/>
      <c r="CL7" s="180" t="str">
        <f>IF(CL6="","",CK6)</f>
        <v> </v>
      </c>
      <c r="CM7" s="184" t="s">
        <v>194</v>
      </c>
      <c r="CN7" s="185">
        <f>IFERROR(__xludf.DUMMYFUNCTION("""COMPUTED_VALUE"""),2.0)</f>
        <v>2</v>
      </c>
      <c r="CO7" s="183"/>
      <c r="CP7" s="174"/>
      <c r="CQ7" s="180" t="str">
        <f>IF(CQ6="","",CP6)</f>
        <v> </v>
      </c>
      <c r="CR7" s="184" t="s">
        <v>194</v>
      </c>
      <c r="CS7" s="186">
        <f>IFERROR(__xludf.DUMMYFUNCTION("""COMPUTED_VALUE"""),2.0)</f>
        <v>2</v>
      </c>
      <c r="CT7" s="183"/>
      <c r="CU7" s="174"/>
      <c r="CV7" s="180" t="str">
        <f>IF(CV6="","",CU6)</f>
        <v> </v>
      </c>
      <c r="CW7" s="52" t="s">
        <v>194</v>
      </c>
      <c r="CX7" s="52">
        <f>IFERROR(__xludf.DUMMYFUNCTION("""COMPUTED_VALUE"""),2.0)</f>
        <v>2</v>
      </c>
      <c r="CY7" s="183"/>
      <c r="CZ7" s="174"/>
      <c r="DA7" s="180" t="str">
        <f>IF(DA6="","",CZ6)</f>
        <v> </v>
      </c>
      <c r="DB7" s="52" t="s">
        <v>194</v>
      </c>
      <c r="DC7" s="52">
        <f>IFERROR(__xludf.DUMMYFUNCTION("""COMPUTED_VALUE"""),2.0)</f>
        <v>2</v>
      </c>
      <c r="DD7" s="183"/>
      <c r="DE7" s="52"/>
      <c r="DF7" s="52"/>
      <c r="DG7" s="52"/>
      <c r="DH7" s="52"/>
    </row>
    <row r="8" ht="13.5" customHeight="1">
      <c r="A8" s="125"/>
      <c r="B8" s="187">
        <v>2.0</v>
      </c>
      <c r="C8" s="188" t="str">
        <f>(VLOOKUP($B8,'Пр.взв'!$D$6:$J$63,2,0))</f>
        <v>МЕЛКОЗЕРОВА Алина</v>
      </c>
      <c r="D8" s="189" t="str">
        <f>(VLOOKUP($B8,'Пр.взв'!$D$6:$J$63,5,0))</f>
        <v>1р</v>
      </c>
      <c r="E8" s="190" t="str">
        <f>(VLOOKUP($B8,'Пр.взв'!$D$6:$M$63,8,0))</f>
        <v>Свердловская</v>
      </c>
      <c r="F8" s="130">
        <v>1.0</v>
      </c>
      <c r="G8" s="131"/>
      <c r="H8" s="132">
        <v>4.0</v>
      </c>
      <c r="I8" s="131"/>
      <c r="J8" s="133" t="str">
        <f>IF(H8="Х","Х",IF($AC8&lt;6," ","Х"))</f>
        <v> </v>
      </c>
      <c r="K8" s="134"/>
      <c r="L8" s="133" t="str">
        <f>IF(J8="Х","Х",IF(K8&lt;3," ",IF($AC8&lt;6," ","Х")))</f>
        <v> </v>
      </c>
      <c r="M8" s="134"/>
      <c r="N8" s="133" t="str">
        <f>IF(L8="Х","Х",IF(M8&lt;3," ",IF($AC8&lt;6," ","Х")))</f>
        <v> </v>
      </c>
      <c r="O8" s="134"/>
      <c r="P8" s="133" t="str">
        <f>IF(N8="Х","Х",IF(O8&lt;3," ",IF($AC8&lt;6," ","Х")))</f>
        <v> </v>
      </c>
      <c r="Q8" s="134"/>
      <c r="R8" s="133" t="str">
        <f>IF(P8="Х","Х",IF(Q8&lt;3," ",IF($AC8&lt;6," ","Х")))</f>
        <v> </v>
      </c>
      <c r="S8" s="134"/>
      <c r="T8" s="133" t="str">
        <f>IF(R8="Х","Х",IF(S8&lt;3," ",IF($AC8&lt;6," ","Х")))</f>
        <v> </v>
      </c>
      <c r="U8" s="135"/>
      <c r="V8" s="133" t="str">
        <f>IF(T8="Х","Х",IF(U8&lt;3," ",IF($AC8&lt;6," ","Х")))</f>
        <v> </v>
      </c>
      <c r="W8" s="135"/>
      <c r="X8" s="133" t="str">
        <f>IF(V8="А1",$AZ$7,IF(V8="Б2",$AZ$6,IF(V8="Б1",$BA$7,IF(V8="А2",$BA$6,IF(V8="Х","Х",IF(V8&lt;6," "," "))))))</f>
        <v> </v>
      </c>
      <c r="Y8" s="136"/>
      <c r="Z8" s="133" t="str">
        <f>IF(V8="Х","Х",IF(ISBLANK(Y8),"",IF(Y8&gt;2.5," ",IF(B8=BB$6,BB$7,BB$6))))</f>
        <v/>
      </c>
      <c r="AA8" s="136"/>
      <c r="AB8" s="137" t="str">
        <f>IF(H8="Х",F$5,IF(J8="Х",H$5,IF(L8="Х",J$5,IF(N8="Х",L$5,IF(P8="Х",N$5,IF(R8="Х",P$5,IF(T8="Х",R$5,IF(X8="Х",T$5,""))))))))</f>
        <v/>
      </c>
      <c r="AC8" s="138">
        <f>SUM(G8+I8+K8+M8+O8+Q8+S8+U8+Y8+AA8)</f>
        <v>0</v>
      </c>
      <c r="AD8" s="139" t="str">
        <f>AF8</f>
        <v>1-24</v>
      </c>
      <c r="AE8" s="140" t="str">
        <f>AD8</f>
        <v>1-24</v>
      </c>
      <c r="AF8" s="141" t="str">
        <f>COUNTIF(AG$6:AG$148,"&gt;"&amp;AG$6:AG$148)+1&amp;REPT("-"&amp;COUNTIF(AG$6:AG$148,"&gt;="&amp;AG$6:AG$148),COUNTIF(AG$6:AG$148,AG8)&gt;1)</f>
        <v>1-24</v>
      </c>
      <c r="AG8" s="142">
        <f>(AR8*100)+(AP8*10)-AC8</f>
        <v>1280</v>
      </c>
      <c r="AH8" s="143" t="str">
        <f>IF(OR(F8="Х",F8="св")," ",IF(AND(G8&gt;=0,G8&lt;3),"1"," "))</f>
        <v>1</v>
      </c>
      <c r="AI8" s="90" t="str">
        <f>IF(OR(H8="Х",H8="св")," ",IF(AND(I8&gt;=0,I8&lt;3),"1"," "))</f>
        <v>1</v>
      </c>
      <c r="AJ8" s="90" t="str">
        <f>IF(OR(J8="Х",J8="св")," ",IF(AND(K8&gt;=0,K8&lt;3),"1"," "))</f>
        <v>1</v>
      </c>
      <c r="AK8" s="90" t="str">
        <f>IF(OR(L8="Х",L8="св")," ",IF(AND(M8&gt;=0,M8&lt;3),"1"," "))</f>
        <v>1</v>
      </c>
      <c r="AL8" s="90" t="str">
        <f>IF(OR(N8="Х",N8="св")," ",IF(AND(O8&gt;=0,O8&lt;3),"1"," "))</f>
        <v>1</v>
      </c>
      <c r="AM8" s="90" t="str">
        <f>IF(OR(P8="Х",P8="св")," ",IF(AND(Q8&gt;=0,Q8&lt;3),"1"," "))</f>
        <v>1</v>
      </c>
      <c r="AN8" s="90" t="str">
        <f>IF(OR(R8="Х",R8="св")," ",IF(AND(S8&gt;=0,S8&lt;3),"1"," "))</f>
        <v>1</v>
      </c>
      <c r="AO8" s="90" t="str">
        <f>IF(OR(T8="Х",T8="св")," ",IF(AND(U8&gt;=0,U8&lt;3),"1"," "))</f>
        <v>1</v>
      </c>
      <c r="AP8" s="90">
        <f>COUNTIF(AH8:AO9,1)</f>
        <v>8</v>
      </c>
      <c r="AQ8" s="90">
        <f>AG8-AC8</f>
        <v>1280</v>
      </c>
      <c r="AR8" s="144">
        <f>IF(F8=0,0,IF(F8="Х",1,IF(H8="Х",2,IF(J8="Х",3,IF(L8="Х",4,IF(N8="Х",5,IF(P8="Х",6,IF(R8="Х",7,IF(T8="Х",8,IF(V8="Х",9,IF(Y8&gt;2.5,10,IF(AA8&gt;2.5,11,IF(AA8&gt;=0,12,IF(AA8=" ",0,))))))))))))))</f>
        <v>12</v>
      </c>
      <c r="AS8" s="90" t="str">
        <f>COUNTIF(AG$6:AG$134,"&gt;"&amp;AG$6:AG$134)+1&amp;REPT("-"&amp;COUNTIF(AG$6:AG$134,"&gt;="&amp;AG$6:AG$134),COUNTIF(AG$6:AG$134,AG8)&gt;1)</f>
        <v>1-24</v>
      </c>
      <c r="AT8" s="143" t="str">
        <f t="shared" ref="AT8:AW8" si="5">COUNTIF(AU$6:AU$134,"&gt;"&amp;AU$6:AU$134)+1&amp;REPT("-"&amp;COUNTIF(AU$6:AU$134,"&gt;="&amp;AU$6:AU$134),COUNTIF(AU$6:AU$134,AU8)&gt;1)</f>
        <v>1-64</v>
      </c>
      <c r="AU8" s="143" t="str">
        <f t="shared" si="5"/>
        <v>1-0</v>
      </c>
      <c r="AV8" s="143" t="str">
        <f t="shared" si="5"/>
        <v>1</v>
      </c>
      <c r="AW8" s="143" t="str">
        <f t="shared" si="5"/>
        <v>63</v>
      </c>
      <c r="AX8" s="145">
        <f>IF(X8="Х","Х",IF(Y8&lt;3,B8,"Х"))</f>
        <v>2</v>
      </c>
      <c r="AY8" s="191">
        <f>IF(AZ8&lt;$AY$4,0,AZ8)</f>
        <v>40</v>
      </c>
      <c r="AZ8" s="192">
        <f>SUM(AY2)*1/2*AY4*2/3</f>
        <v>40</v>
      </c>
      <c r="BA8" s="191">
        <f>IF(BB8&lt;$AY$4,0,BB8)</f>
        <v>20</v>
      </c>
      <c r="BB8" s="193">
        <f>SUM(AY2)*1/2*AY4*2/3*1/2</f>
        <v>20</v>
      </c>
      <c r="BC8" s="191">
        <f>IF(BD8&lt;$AY$4,0,BD8)</f>
        <v>10</v>
      </c>
      <c r="BD8" s="193">
        <f>SUM(AY2)*1/2*AY4*2/3*1/2*1/2</f>
        <v>10</v>
      </c>
      <c r="BE8" s="191">
        <f>IF(BF8&lt;$AY$4,0,BF8)</f>
        <v>5</v>
      </c>
      <c r="BF8" s="193">
        <f>SUM(AY2)*1/2*AY4*2/3*1/2*1/2*1/2</f>
        <v>5</v>
      </c>
      <c r="BG8" s="63"/>
      <c r="BH8" s="49"/>
      <c r="BI8" s="194"/>
      <c r="BJ8" s="194"/>
      <c r="BK8" s="52"/>
      <c r="BL8" s="52"/>
      <c r="BM8" s="195">
        <v>2.0</v>
      </c>
      <c r="BN8" s="196">
        <v>1.0</v>
      </c>
      <c r="BO8" s="153" t="str">
        <f>IF(BM8&lt;BN8,BM8,"")</f>
        <v/>
      </c>
      <c r="BP8" s="196" t="s">
        <v>195</v>
      </c>
      <c r="BQ8" s="197">
        <f>IFERROR(__xludf.DUMMYFUNCTION("""COMPUTED_VALUE"""),3.0)</f>
        <v>3</v>
      </c>
      <c r="BR8" s="198">
        <v>2.0</v>
      </c>
      <c r="BS8" s="196">
        <v>4.0</v>
      </c>
      <c r="BT8" s="175">
        <f>IF(BR8&lt;BS8,BR8,"")</f>
        <v>2</v>
      </c>
      <c r="BU8" s="196">
        <v>2.0</v>
      </c>
      <c r="BV8" s="196">
        <f>IFERROR(__xludf.DUMMYFUNCTION("""COMPUTED_VALUE"""),2.0)</f>
        <v>2</v>
      </c>
      <c r="BW8" s="199">
        <v>2.0</v>
      </c>
      <c r="BX8" s="74" t="s">
        <v>194</v>
      </c>
      <c r="BY8" s="160">
        <f t="array" ref="BY8">IF(BW8&lt;BX8,BW8,"")</f>
        <v>2</v>
      </c>
      <c r="BZ8" s="160">
        <f t="shared" si="3"/>
        <v>2</v>
      </c>
      <c r="CA8" s="74">
        <f>IFERROR(__xludf.DUMMYFUNCTION("""COMPUTED_VALUE"""),3.0)</f>
        <v>3</v>
      </c>
      <c r="CB8" s="74">
        <f t="shared" si="4"/>
        <v>3</v>
      </c>
      <c r="CC8" s="74"/>
      <c r="CD8" s="179"/>
      <c r="CE8" s="200">
        <v>2.0</v>
      </c>
      <c r="CF8" s="25" t="s">
        <v>194</v>
      </c>
      <c r="CG8" s="153">
        <f t="array" ref="CG8">IF(CE8&lt;CF8,CE8,"")</f>
        <v>2</v>
      </c>
      <c r="CH8" s="74">
        <v>2.0</v>
      </c>
      <c r="CI8" s="182">
        <f>IFERROR(__xludf.DUMMYFUNCTION("""COMPUTED_VALUE"""),3.0)</f>
        <v>3</v>
      </c>
      <c r="CJ8" s="93">
        <v>2.0</v>
      </c>
      <c r="CK8" s="201" t="s">
        <v>194</v>
      </c>
      <c r="CL8" s="153">
        <f t="array" ref="CL8">IF(CJ8&lt;CK8,CJ8,"")</f>
        <v>2</v>
      </c>
      <c r="CM8" s="52">
        <v>2.0</v>
      </c>
      <c r="CN8" s="52">
        <f>IFERROR(__xludf.DUMMYFUNCTION("""COMPUTED_VALUE"""),3.0)</f>
        <v>3</v>
      </c>
      <c r="CO8" s="196">
        <v>2.0</v>
      </c>
      <c r="CP8" s="202" t="s">
        <v>194</v>
      </c>
      <c r="CQ8" s="153">
        <f t="array" ref="CQ8">IF(CO8&lt;CP8,CO8,"")</f>
        <v>2</v>
      </c>
      <c r="CR8" s="75">
        <v>2.0</v>
      </c>
      <c r="CS8" s="75">
        <f>IFERROR(__xludf.DUMMYFUNCTION("""COMPUTED_VALUE"""),3.0)</f>
        <v>3</v>
      </c>
      <c r="CT8" s="202">
        <v>2.0</v>
      </c>
      <c r="CU8" s="196" t="s">
        <v>194</v>
      </c>
      <c r="CV8" s="153">
        <f t="array" ref="CV8">IF(CT8&lt;CU8,CT8,"")</f>
        <v>2</v>
      </c>
      <c r="CW8" s="52">
        <v>2.0</v>
      </c>
      <c r="CX8" s="52">
        <f>IFERROR(__xludf.DUMMYFUNCTION("""COMPUTED_VALUE"""),3.0)</f>
        <v>3</v>
      </c>
      <c r="CY8" s="202">
        <v>2.0</v>
      </c>
      <c r="CZ8" s="196" t="s">
        <v>194</v>
      </c>
      <c r="DA8" s="153">
        <f t="array" ref="DA8">IF(CY8&lt;CZ8,CY8,"")</f>
        <v>2</v>
      </c>
      <c r="DB8" s="52">
        <v>2.0</v>
      </c>
      <c r="DC8" s="52">
        <f>IFERROR(__xludf.DUMMYFUNCTION("""COMPUTED_VALUE"""),3.0)</f>
        <v>3</v>
      </c>
      <c r="DD8" s="52">
        <v>2.0</v>
      </c>
      <c r="DE8" s="52"/>
      <c r="DF8" s="52"/>
      <c r="DG8" s="52"/>
      <c r="DH8" s="52"/>
    </row>
    <row r="9" ht="13.5" customHeight="1">
      <c r="B9" s="165"/>
      <c r="C9" s="165"/>
      <c r="D9" s="165"/>
      <c r="E9" s="165"/>
      <c r="F9" s="166"/>
      <c r="G9" s="167"/>
      <c r="H9" s="168"/>
      <c r="I9" s="167"/>
      <c r="J9" s="168"/>
      <c r="K9" s="167"/>
      <c r="L9" s="168"/>
      <c r="M9" s="167"/>
      <c r="N9" s="168"/>
      <c r="O9" s="167"/>
      <c r="P9" s="168"/>
      <c r="Q9" s="167"/>
      <c r="R9" s="168"/>
      <c r="S9" s="167"/>
      <c r="T9" s="168"/>
      <c r="U9" s="169"/>
      <c r="V9" s="168"/>
      <c r="W9" s="169"/>
      <c r="X9" s="168"/>
      <c r="Y9" s="167"/>
      <c r="Z9" s="168"/>
      <c r="AA9" s="167"/>
      <c r="AB9" s="166"/>
      <c r="AC9" s="165"/>
      <c r="AD9" s="168"/>
      <c r="AE9" s="170"/>
      <c r="AF9" s="171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Y9" s="203" t="s">
        <v>196</v>
      </c>
      <c r="AZ9" s="204"/>
      <c r="BA9" s="204"/>
      <c r="BB9" s="204"/>
      <c r="BC9" s="204"/>
      <c r="BD9" s="204"/>
      <c r="BE9" s="204"/>
      <c r="BF9" s="204"/>
      <c r="BG9" s="205"/>
      <c r="BH9" s="206"/>
      <c r="BI9" s="194"/>
      <c r="BJ9" s="194"/>
      <c r="BK9" s="52"/>
      <c r="BL9" s="52"/>
      <c r="BM9" s="178"/>
      <c r="BO9" s="175" t="str">
        <f>IF(BO8="","",BN8)</f>
        <v/>
      </c>
      <c r="BP9" s="175" t="s">
        <v>195</v>
      </c>
      <c r="BQ9" s="197">
        <f>IFERROR(__xludf.DUMMYFUNCTION("""COMPUTED_VALUE"""),4.0)</f>
        <v>4</v>
      </c>
      <c r="BT9" s="175">
        <f>IF(BT8="","",BS8)</f>
        <v>4</v>
      </c>
      <c r="BU9" s="175">
        <v>4.0</v>
      </c>
      <c r="BV9" s="196">
        <f>IFERROR(__xludf.DUMMYFUNCTION("""COMPUTED_VALUE"""),4.0)</f>
        <v>4</v>
      </c>
      <c r="BW9" s="178"/>
      <c r="BY9" s="160" t="str">
        <f>IF(BY8="","",BX8)</f>
        <v> </v>
      </c>
      <c r="BZ9" s="160" t="str">
        <f t="shared" si="3"/>
        <v> </v>
      </c>
      <c r="CA9" s="74">
        <f>IFERROR(__xludf.DUMMYFUNCTION("""COMPUTED_VALUE"""),4.0)</f>
        <v>4</v>
      </c>
      <c r="CB9" s="74">
        <f t="shared" si="4"/>
        <v>4</v>
      </c>
      <c r="CC9" s="74"/>
      <c r="CD9" s="179"/>
      <c r="CG9" s="180" t="str">
        <f>IF(CG8="","",CF8)</f>
        <v> </v>
      </c>
      <c r="CH9" s="200" t="s">
        <v>194</v>
      </c>
      <c r="CI9" s="182">
        <f>IFERROR(__xludf.DUMMYFUNCTION("""COMPUTED_VALUE"""),4.0)</f>
        <v>4</v>
      </c>
      <c r="CJ9" s="49" t="s">
        <v>195</v>
      </c>
      <c r="CK9" s="207"/>
      <c r="CL9" s="180" t="str">
        <f>IF(CL8="","",CK8)</f>
        <v> </v>
      </c>
      <c r="CM9" s="52" t="s">
        <v>194</v>
      </c>
      <c r="CN9" s="52">
        <f>IFERROR(__xludf.DUMMYFUNCTION("""COMPUTED_VALUE"""),4.0)</f>
        <v>4</v>
      </c>
      <c r="CQ9" s="180" t="str">
        <f>IF(CQ8="","",CP8)</f>
        <v> </v>
      </c>
      <c r="CR9" s="52" t="s">
        <v>194</v>
      </c>
      <c r="CS9" s="75">
        <f>IFERROR(__xludf.DUMMYFUNCTION("""COMPUTED_VALUE"""),4.0)</f>
        <v>4</v>
      </c>
      <c r="CV9" s="180" t="str">
        <f>IF(CV8="","",CU8)</f>
        <v> </v>
      </c>
      <c r="CW9" s="52" t="s">
        <v>194</v>
      </c>
      <c r="CX9" s="52">
        <f>IFERROR(__xludf.DUMMYFUNCTION("""COMPUTED_VALUE"""),4.0)</f>
        <v>4</v>
      </c>
      <c r="DA9" s="180" t="str">
        <f>IF(DA8="","",CZ8)</f>
        <v> </v>
      </c>
      <c r="DB9" s="52" t="s">
        <v>194</v>
      </c>
      <c r="DC9" s="52">
        <f>IFERROR(__xludf.DUMMYFUNCTION("""COMPUTED_VALUE"""),4.0)</f>
        <v>4</v>
      </c>
      <c r="DD9" s="52" t="s">
        <v>195</v>
      </c>
      <c r="DE9" s="52"/>
      <c r="DF9" s="52"/>
      <c r="DG9" s="52"/>
      <c r="DH9" s="52"/>
    </row>
    <row r="10" ht="13.5" customHeight="1">
      <c r="A10" s="208"/>
      <c r="B10" s="187">
        <v>3.0</v>
      </c>
      <c r="C10" s="188" t="str">
        <f>(VLOOKUP($B10,'Пр.взв'!$D$6:$J$63,2,0))</f>
        <v>БЕЛОУСОВА Алёна</v>
      </c>
      <c r="D10" s="189" t="str">
        <f>(VLOOKUP($B10,'Пр.взв'!$D$6:$J$63,5,0))</f>
        <v>КМС</v>
      </c>
      <c r="E10" s="190" t="str">
        <f>(VLOOKUP($B10,'Пр.взв'!$D$6:$M$63,8,0))</f>
        <v>Р.Крым</v>
      </c>
      <c r="F10" s="130">
        <v>4.0</v>
      </c>
      <c r="G10" s="131"/>
      <c r="H10" s="132">
        <v>1.0</v>
      </c>
      <c r="I10" s="131"/>
      <c r="J10" s="133" t="str">
        <f>IF(H10="Х","Х",IF($AC10&lt;6," ","Х"))</f>
        <v> </v>
      </c>
      <c r="K10" s="134"/>
      <c r="L10" s="133" t="str">
        <f>IF(J10="Х","Х",IF(K10&lt;3," ",IF($AC10&lt;6," ","Х")))</f>
        <v> </v>
      </c>
      <c r="M10" s="134"/>
      <c r="N10" s="133" t="str">
        <f>IF(L10="Х","Х",IF(M10&lt;3," ",IF($AC10&lt;6," ","Х")))</f>
        <v> </v>
      </c>
      <c r="O10" s="134"/>
      <c r="P10" s="133" t="str">
        <f>IF(N10="Х","Х",IF(O10&lt;3," ",IF($AC10&lt;6," ","Х")))</f>
        <v> </v>
      </c>
      <c r="Q10" s="134"/>
      <c r="R10" s="133" t="str">
        <f>IF(P10="Х","Х",IF(Q10&lt;3," ",IF($AC10&lt;6," ","Х")))</f>
        <v> </v>
      </c>
      <c r="S10" s="134"/>
      <c r="T10" s="133" t="str">
        <f>IF(R10="Х","Х",IF(S10&lt;3," ",IF($AC10&lt;6," ","Х")))</f>
        <v> </v>
      </c>
      <c r="U10" s="135"/>
      <c r="V10" s="133" t="str">
        <f>IF(T10="Х","Х",IF(U10&lt;3," ",IF($AC10&lt;6," ","Х")))</f>
        <v> </v>
      </c>
      <c r="W10" s="135"/>
      <c r="X10" s="133" t="str">
        <f>IF(V10="А1",$AZ$7,IF(V10="Б2",$AZ$6,IF(V10="Б1",$BA$7,IF(V10="А2",$BA$6,IF(V10="Х","Х",IF(V10&lt;6," "," "))))))</f>
        <v> </v>
      </c>
      <c r="Y10" s="136"/>
      <c r="Z10" s="133" t="str">
        <f>IF(V10="Х","Х",IF(ISBLANK(Y10),"",IF(Y10&gt;2.5," ",IF(B10=BB$6,BB$7,BB$6))))</f>
        <v/>
      </c>
      <c r="AA10" s="136"/>
      <c r="AB10" s="137" t="str">
        <f>IF(H10="Х",F$5,IF(J10="Х",H$5,IF(L10="Х",J$5,IF(N10="Х",L$5,IF(P10="Х",N$5,IF(R10="Х",P$5,IF(T10="Х",R$5,IF(X10="Х",T$5,""))))))))</f>
        <v/>
      </c>
      <c r="AC10" s="138">
        <f>SUM(G10+I10+K10+M10+O10+Q10+S10+U10+Y10+AA10)</f>
        <v>0</v>
      </c>
      <c r="AD10" s="139" t="str">
        <f>AF10</f>
        <v>1-24</v>
      </c>
      <c r="AE10" s="140" t="str">
        <f>AD10</f>
        <v>1-24</v>
      </c>
      <c r="AF10" s="141" t="str">
        <f>COUNTIF(AG$6:AG$148,"&gt;"&amp;AG$6:AG$148)+1&amp;REPT("-"&amp;COUNTIF(AG$6:AG$148,"&gt;="&amp;AG$6:AG$148),COUNTIF(AG$6:AG$148,AG10)&gt;1)</f>
        <v>1-24</v>
      </c>
      <c r="AG10" s="142">
        <f>(AR10*100)+(AP10*10)-AC10</f>
        <v>1280</v>
      </c>
      <c r="AH10" s="143" t="str">
        <f>IF(OR(F10="Х",F10="св")," ",IF(AND(G10&gt;=0,G10&lt;3),"1"," "))</f>
        <v>1</v>
      </c>
      <c r="AI10" s="90" t="str">
        <f>IF(OR(H10="Х",H10="св")," ",IF(AND(I10&gt;=0,I10&lt;3),"1"," "))</f>
        <v>1</v>
      </c>
      <c r="AJ10" s="90" t="str">
        <f>IF(OR(J10="Х",J10="св")," ",IF(AND(K10&gt;=0,K10&lt;3),"1"," "))</f>
        <v>1</v>
      </c>
      <c r="AK10" s="90" t="str">
        <f>IF(OR(L10="Х",L10="св")," ",IF(AND(M10&gt;=0,M10&lt;3),"1"," "))</f>
        <v>1</v>
      </c>
      <c r="AL10" s="90" t="str">
        <f>IF(OR(N10="Х",N10="св")," ",IF(AND(O10&gt;=0,O10&lt;3),"1"," "))</f>
        <v>1</v>
      </c>
      <c r="AM10" s="90" t="str">
        <f>IF(OR(P10="Х",P10="св")," ",IF(AND(Q10&gt;=0,Q10&lt;3),"1"," "))</f>
        <v>1</v>
      </c>
      <c r="AN10" s="90" t="str">
        <f>IF(OR(R10="Х",R10="св")," ",IF(AND(S10&gt;=0,S10&lt;3),"1"," "))</f>
        <v>1</v>
      </c>
      <c r="AO10" s="90" t="str">
        <f>IF(OR(T10="Х",T10="св")," ",IF(AND(U10&gt;=0,U10&lt;3),"1"," "))</f>
        <v>1</v>
      </c>
      <c r="AP10" s="90">
        <f>COUNTIF(AH10:AO11,1)</f>
        <v>8</v>
      </c>
      <c r="AQ10" s="90">
        <f>AG10-AC10</f>
        <v>1280</v>
      </c>
      <c r="AR10" s="144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0" t="str">
        <f>COUNTIF(AG$6:AG$134,"&gt;"&amp;AG$6:AG$134)+1&amp;REPT("-"&amp;COUNTIF(AG$6:AG$134,"&gt;="&amp;AG$6:AG$134),COUNTIF(AG$6:AG$134,AG10)&gt;1)</f>
        <v>1-24</v>
      </c>
      <c r="AT10" s="143" t="str">
        <f t="shared" ref="AT10:AW10" si="6">COUNTIF(AU$6:AU$134,"&gt;"&amp;AU$6:AU$134)+1&amp;REPT("-"&amp;COUNTIF(AU$6:AU$134,"&gt;="&amp;AU$6:AU$134),COUNTIF(AU$6:AU$134,AU10)&gt;1)</f>
        <v>1-64</v>
      </c>
      <c r="AU10" s="143" t="str">
        <f t="shared" si="6"/>
        <v>1-0</v>
      </c>
      <c r="AV10" s="143" t="str">
        <f t="shared" si="6"/>
        <v>1</v>
      </c>
      <c r="AW10" s="143" t="str">
        <f t="shared" si="6"/>
        <v>62</v>
      </c>
      <c r="AX10" s="145">
        <f>IF(X10="Х","Х",IF(Y10&lt;3,B10,"Х"))</f>
        <v>3</v>
      </c>
      <c r="AY10" s="209">
        <v>3.0</v>
      </c>
      <c r="AZ10" s="171"/>
      <c r="BA10" s="210">
        <v>4.0</v>
      </c>
      <c r="BB10" s="171"/>
      <c r="BC10" s="211">
        <v>5.0</v>
      </c>
      <c r="BD10" s="204"/>
      <c r="BE10" s="212">
        <v>6.0</v>
      </c>
      <c r="BF10" s="204"/>
      <c r="BG10" s="213">
        <v>7.0</v>
      </c>
      <c r="BH10" s="213">
        <v>8.0</v>
      </c>
      <c r="BI10" s="196"/>
      <c r="BK10" s="124"/>
      <c r="BM10" s="195">
        <v>3.0</v>
      </c>
      <c r="BN10" s="196">
        <v>4.0</v>
      </c>
      <c r="BO10" s="153">
        <f>IF(BM10&lt;BN10,BM10,"")</f>
        <v>3</v>
      </c>
      <c r="BP10" s="196">
        <v>3.0</v>
      </c>
      <c r="BQ10" s="197">
        <f>IFERROR(__xludf.DUMMYFUNCTION("""COMPUTED_VALUE"""),5.0)</f>
        <v>5</v>
      </c>
      <c r="BR10" s="198">
        <v>3.0</v>
      </c>
      <c r="BS10" s="196">
        <v>1.0</v>
      </c>
      <c r="BT10" s="175" t="str">
        <f>IF(BR10&lt;BS10,BR10,"")</f>
        <v/>
      </c>
      <c r="BU10" s="196" t="s">
        <v>195</v>
      </c>
      <c r="BV10" s="196">
        <f>IFERROR(__xludf.DUMMYFUNCTION("""COMPUTED_VALUE"""),5.0)</f>
        <v>5</v>
      </c>
      <c r="BW10" s="199">
        <v>3.0</v>
      </c>
      <c r="BX10" s="74" t="s">
        <v>194</v>
      </c>
      <c r="BY10" s="160">
        <f t="array" ref="BY10">IF(BW10&lt;BX10,BW10,"")</f>
        <v>3</v>
      </c>
      <c r="BZ10" s="160">
        <f t="shared" si="3"/>
        <v>3</v>
      </c>
      <c r="CA10" s="74">
        <f>IFERROR(__xludf.DUMMYFUNCTION("""COMPUTED_VALUE"""),5.0)</f>
        <v>5</v>
      </c>
      <c r="CB10" s="74">
        <f t="shared" si="4"/>
        <v>5</v>
      </c>
      <c r="CC10" s="74"/>
      <c r="CD10" s="179"/>
      <c r="CE10" s="200">
        <v>3.0</v>
      </c>
      <c r="CF10" s="25" t="s">
        <v>194</v>
      </c>
      <c r="CG10" s="153">
        <f t="array" ref="CG10">IF(CE10&lt;CF10,CE10,"")</f>
        <v>3</v>
      </c>
      <c r="CH10" s="74">
        <v>3.0</v>
      </c>
      <c r="CI10" s="182">
        <f>IFERROR(__xludf.DUMMYFUNCTION("""COMPUTED_VALUE"""),5.0)</f>
        <v>5</v>
      </c>
      <c r="CJ10" s="93">
        <v>3.0</v>
      </c>
      <c r="CK10" s="201" t="s">
        <v>194</v>
      </c>
      <c r="CL10" s="153">
        <f t="array" ref="CL10">IF(CJ10&lt;CK10,CJ10,"")</f>
        <v>3</v>
      </c>
      <c r="CM10" s="52">
        <v>3.0</v>
      </c>
      <c r="CN10" s="52">
        <f>IFERROR(__xludf.DUMMYFUNCTION("""COMPUTED_VALUE"""),5.0)</f>
        <v>5</v>
      </c>
      <c r="CO10" s="196">
        <v>3.0</v>
      </c>
      <c r="CP10" s="202" t="s">
        <v>194</v>
      </c>
      <c r="CQ10" s="153">
        <f t="array" ref="CQ10">IF(CO10&lt;CP10,CO10,"")</f>
        <v>3</v>
      </c>
      <c r="CR10" s="75">
        <v>3.0</v>
      </c>
      <c r="CS10" s="75">
        <f>IFERROR(__xludf.DUMMYFUNCTION("""COMPUTED_VALUE"""),5.0)</f>
        <v>5</v>
      </c>
      <c r="CT10" s="202">
        <v>3.0</v>
      </c>
      <c r="CU10" s="196" t="s">
        <v>194</v>
      </c>
      <c r="CV10" s="153">
        <f t="array" ref="CV10">IF(CT10&lt;CU10,CT10,"")</f>
        <v>3</v>
      </c>
      <c r="CW10" s="52">
        <v>3.0</v>
      </c>
      <c r="CX10" s="52">
        <f>IFERROR(__xludf.DUMMYFUNCTION("""COMPUTED_VALUE"""),5.0)</f>
        <v>5</v>
      </c>
      <c r="CY10" s="202">
        <v>3.0</v>
      </c>
      <c r="CZ10" s="196" t="s">
        <v>194</v>
      </c>
      <c r="DA10" s="153">
        <f t="array" ref="DA10">IF(CY10&lt;CZ10,CY10,"")</f>
        <v>3</v>
      </c>
      <c r="DB10" s="52">
        <v>3.0</v>
      </c>
      <c r="DC10" s="52">
        <f>IFERROR(__xludf.DUMMYFUNCTION("""COMPUTED_VALUE"""),5.0)</f>
        <v>5</v>
      </c>
      <c r="DD10" s="52">
        <v>3.0</v>
      </c>
      <c r="DE10" s="52"/>
      <c r="DF10" s="52"/>
      <c r="DG10" s="52"/>
      <c r="DH10" s="52"/>
    </row>
    <row r="11" ht="13.5" customHeight="1">
      <c r="A11" s="208"/>
      <c r="B11" s="165"/>
      <c r="C11" s="165"/>
      <c r="D11" s="165"/>
      <c r="E11" s="165"/>
      <c r="F11" s="166"/>
      <c r="G11" s="167"/>
      <c r="H11" s="168"/>
      <c r="I11" s="167"/>
      <c r="J11" s="168"/>
      <c r="K11" s="167"/>
      <c r="L11" s="168"/>
      <c r="M11" s="167"/>
      <c r="N11" s="168"/>
      <c r="O11" s="167"/>
      <c r="P11" s="168"/>
      <c r="Q11" s="167"/>
      <c r="R11" s="168"/>
      <c r="S11" s="167"/>
      <c r="T11" s="168"/>
      <c r="U11" s="169"/>
      <c r="V11" s="168"/>
      <c r="W11" s="169"/>
      <c r="X11" s="168"/>
      <c r="Y11" s="167"/>
      <c r="Z11" s="168"/>
      <c r="AA11" s="167"/>
      <c r="AB11" s="166"/>
      <c r="AC11" s="165"/>
      <c r="AD11" s="168"/>
      <c r="AE11" s="170"/>
      <c r="AF11" s="171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Y11" s="214">
        <f t="array" ref="AY11:AY169">IF(CA6:CA164&gt;$AY$3,"",CA6:CA164)</f>
        <v>1</v>
      </c>
      <c r="AZ11" s="215"/>
      <c r="BA11" s="216">
        <f t="array" ref="BA11:BA169">IF(CI6:CI164&gt;$AY$3,"",CI6:CI164)</f>
        <v>1</v>
      </c>
      <c r="BB11" s="217"/>
      <c r="BC11" s="218">
        <f t="array" ref="BC11:BC169">IF(CN6:CN164&gt;$AY$3,"",CN6:CN164)</f>
        <v>1</v>
      </c>
      <c r="BD11" s="219">
        <f t="array" ref="BD11:BD169">IF(BQ6:BQ164&gt;$AY$3,"",BQ6:BQ164)</f>
        <v>1</v>
      </c>
      <c r="BE11" s="218">
        <f t="array" ref="BE11:BE169">IF(CS6:CS164&gt;$AY$3,"",CS6:CS164)</f>
        <v>1</v>
      </c>
      <c r="BF11" s="220">
        <f t="array" ref="BF11:BF169">IF(BV6:BV164&gt;$AY$3,"",BV6:BV164)</f>
        <v>1</v>
      </c>
      <c r="BG11" s="214">
        <f t="array" ref="BG11:BG169">IF(CX6:CX164&gt;$AY$3,"",CX6:CX164)</f>
        <v>1</v>
      </c>
      <c r="BH11" s="218">
        <f t="array" ref="BH11:BH169">IF(CX6:CX164&gt;$AY$3,"",CX6:CX164)</f>
        <v>1</v>
      </c>
      <c r="BI11" s="221"/>
      <c r="BM11" s="178"/>
      <c r="BO11" s="175">
        <f>IF(BO10="","",BN10)</f>
        <v>4</v>
      </c>
      <c r="BP11" s="175">
        <v>4.0</v>
      </c>
      <c r="BQ11" s="197">
        <f>IFERROR(__xludf.DUMMYFUNCTION("""COMPUTED_VALUE"""),6.0)</f>
        <v>6</v>
      </c>
      <c r="BT11" s="175" t="str">
        <f>IF(BT10="","",BS10)</f>
        <v/>
      </c>
      <c r="BU11" s="175" t="s">
        <v>195</v>
      </c>
      <c r="BV11" s="196">
        <f>IFERROR(__xludf.DUMMYFUNCTION("""COMPUTED_VALUE"""),7.0)</f>
        <v>7</v>
      </c>
      <c r="BW11" s="178"/>
      <c r="BY11" s="160" t="str">
        <f>IF(BY10="","",BX10)</f>
        <v> </v>
      </c>
      <c r="BZ11" s="160" t="str">
        <f t="shared" si="3"/>
        <v> </v>
      </c>
      <c r="CA11" s="74">
        <f>IFERROR(__xludf.DUMMYFUNCTION("""COMPUTED_VALUE"""),6.0)</f>
        <v>6</v>
      </c>
      <c r="CB11" s="74">
        <f t="shared" si="4"/>
        <v>6</v>
      </c>
      <c r="CC11" s="74"/>
      <c r="CD11" s="179"/>
      <c r="CG11" s="180" t="str">
        <f>IF(CG10="","",CF10)</f>
        <v> </v>
      </c>
      <c r="CH11" s="200" t="s">
        <v>194</v>
      </c>
      <c r="CI11" s="182">
        <f>IFERROR(__xludf.DUMMYFUNCTION("""COMPUTED_VALUE"""),6.0)</f>
        <v>6</v>
      </c>
      <c r="CJ11" s="49" t="s">
        <v>195</v>
      </c>
      <c r="CK11" s="207"/>
      <c r="CL11" s="180" t="str">
        <f>IF(CL10="","",CK10)</f>
        <v> </v>
      </c>
      <c r="CM11" s="52" t="s">
        <v>194</v>
      </c>
      <c r="CN11" s="52">
        <f>IFERROR(__xludf.DUMMYFUNCTION("""COMPUTED_VALUE"""),6.0)</f>
        <v>6</v>
      </c>
      <c r="CQ11" s="180" t="str">
        <f>IF(CQ10="","",CP10)</f>
        <v> </v>
      </c>
      <c r="CR11" s="52" t="s">
        <v>194</v>
      </c>
      <c r="CS11" s="75">
        <f>IFERROR(__xludf.DUMMYFUNCTION("""COMPUTED_VALUE"""),6.0)</f>
        <v>6</v>
      </c>
      <c r="CV11" s="180" t="str">
        <f>IF(CV10="","",CU10)</f>
        <v> </v>
      </c>
      <c r="CW11" s="52" t="s">
        <v>194</v>
      </c>
      <c r="CX11" s="52">
        <f>IFERROR(__xludf.DUMMYFUNCTION("""COMPUTED_VALUE"""),6.0)</f>
        <v>6</v>
      </c>
      <c r="DA11" s="180" t="str">
        <f>IF(DA10="","",CZ10)</f>
        <v> </v>
      </c>
      <c r="DB11" s="52" t="s">
        <v>194</v>
      </c>
      <c r="DC11" s="52">
        <f>IFERROR(__xludf.DUMMYFUNCTION("""COMPUTED_VALUE"""),6.0)</f>
        <v>6</v>
      </c>
      <c r="DD11" s="52" t="s">
        <v>195</v>
      </c>
      <c r="DE11" s="52"/>
      <c r="DF11" s="52"/>
      <c r="DG11" s="52"/>
      <c r="DH11" s="52"/>
    </row>
    <row r="12" ht="13.5" customHeight="1">
      <c r="A12" s="208"/>
      <c r="B12" s="187">
        <v>4.0</v>
      </c>
      <c r="C12" s="188" t="str">
        <f>(VLOOKUP($B12,'Пр.взв'!$D$6:$J$63,2,0))</f>
        <v>КИРЬЯНОВА  Ксения</v>
      </c>
      <c r="D12" s="189" t="str">
        <f>(VLOOKUP($B12,'Пр.взв'!$D$6:$J$63,5,0))</f>
        <v>КМС</v>
      </c>
      <c r="E12" s="190" t="str">
        <f>(VLOOKUP($B12,'Пр.взв'!$D$6:$M$63,8,0))</f>
        <v>Москва</v>
      </c>
      <c r="F12" s="130">
        <v>3.0</v>
      </c>
      <c r="G12" s="131"/>
      <c r="H12" s="132">
        <v>2.0</v>
      </c>
      <c r="I12" s="131"/>
      <c r="J12" s="133" t="str">
        <f>IF(H12="Х","Х",IF($AC12&lt;6," ","Х"))</f>
        <v> </v>
      </c>
      <c r="K12" s="134"/>
      <c r="L12" s="133" t="str">
        <f>IF(J12="Х","Х",IF(K12&lt;3," ",IF($AC12&lt;6," ","Х")))</f>
        <v> </v>
      </c>
      <c r="M12" s="134"/>
      <c r="N12" s="133" t="str">
        <f>IF(L12="Х","Х",IF(M12&lt;3," ",IF($AC12&lt;6," ","Х")))</f>
        <v> </v>
      </c>
      <c r="O12" s="134"/>
      <c r="P12" s="133" t="str">
        <f>IF(N12="Х","Х",IF(O12&lt;3," ",IF($AC12&lt;6," ","Х")))</f>
        <v> </v>
      </c>
      <c r="Q12" s="134"/>
      <c r="R12" s="133" t="str">
        <f>IF(P12="Х","Х",IF(Q12&lt;3," ",IF($AC12&lt;6," ","Х")))</f>
        <v> </v>
      </c>
      <c r="S12" s="134"/>
      <c r="T12" s="133" t="str">
        <f>IF(R12="Х","Х",IF(S12&lt;3," ",IF($AC12&lt;6," ","Х")))</f>
        <v> </v>
      </c>
      <c r="U12" s="135"/>
      <c r="V12" s="133" t="str">
        <f>IF(T12="Х","Х",IF(U12&lt;3," ",IF($AC12&lt;6," ","Х")))</f>
        <v> </v>
      </c>
      <c r="W12" s="135"/>
      <c r="X12" s="133" t="str">
        <f>IF(V12="А1",$AZ$7,IF(V12="Б2",$AZ$6,IF(V12="Б1",$BA$7,IF(V12="А2",$BA$6,IF(V12="Х","Х",IF(V12&lt;6," "," "))))))</f>
        <v> </v>
      </c>
      <c r="Y12" s="136"/>
      <c r="Z12" s="133" t="str">
        <f>IF(V12="Х","Х",IF(ISBLANK(Y12),"",IF(Y12&gt;2.5," ",IF(B12=BB$6,BB$7,BB$6))))</f>
        <v/>
      </c>
      <c r="AA12" s="136"/>
      <c r="AB12" s="137" t="str">
        <f>IF(H12="Х",F$5,IF(J12="Х",H$5,IF(L12="Х",J$5,IF(N12="Х",L$5,IF(P12="Х",N$5,IF(R12="Х",P$5,IF(T12="Х",R$5,IF(X12="Х",T$5,""))))))))</f>
        <v/>
      </c>
      <c r="AC12" s="138">
        <f>SUM(G12+I12+K12+M12+O12+Q12+S12+U12+Y12+AA12)</f>
        <v>0</v>
      </c>
      <c r="AD12" s="139" t="str">
        <f>AF12</f>
        <v>1-24</v>
      </c>
      <c r="AE12" s="140" t="str">
        <f>AD12</f>
        <v>1-24</v>
      </c>
      <c r="AF12" s="141" t="str">
        <f>COUNTIF(AG$6:AG$148,"&gt;"&amp;AG$6:AG$148)+1&amp;REPT("-"&amp;COUNTIF(AG$6:AG$148,"&gt;="&amp;AG$6:AG$148),COUNTIF(AG$6:AG$148,AG12)&gt;1)</f>
        <v>1-24</v>
      </c>
      <c r="AG12" s="142">
        <f>(AR12*100)+(AP12*10)-AC12</f>
        <v>1280</v>
      </c>
      <c r="AH12" s="143" t="str">
        <f>IF(OR(F12="Х",F12="св")," ",IF(AND(G12&gt;=0,G12&lt;3),"1"," "))</f>
        <v>1</v>
      </c>
      <c r="AI12" s="90" t="str">
        <f>IF(OR(H12="Х",H12="св")," ",IF(AND(I12&gt;=0,I12&lt;3),"1"," "))</f>
        <v>1</v>
      </c>
      <c r="AJ12" s="90" t="str">
        <f>IF(OR(J12="Х",J12="св")," ",IF(AND(K12&gt;=0,K12&lt;3),"1"," "))</f>
        <v>1</v>
      </c>
      <c r="AK12" s="90" t="str">
        <f>IF(OR(L12="Х",L12="св")," ",IF(AND(M12&gt;=0,M12&lt;3),"1"," "))</f>
        <v>1</v>
      </c>
      <c r="AL12" s="90" t="str">
        <f>IF(OR(N12="Х",N12="св")," ",IF(AND(O12&gt;=0,O12&lt;3),"1"," "))</f>
        <v>1</v>
      </c>
      <c r="AM12" s="90" t="str">
        <f>IF(OR(P12="Х",P12="св")," ",IF(AND(Q12&gt;=0,Q12&lt;3),"1"," "))</f>
        <v>1</v>
      </c>
      <c r="AN12" s="90" t="str">
        <f>IF(OR(R12="Х",R12="св")," ",IF(AND(S12&gt;=0,S12&lt;3),"1"," "))</f>
        <v>1</v>
      </c>
      <c r="AO12" s="90" t="str">
        <f>IF(OR(T12="Х",T12="св")," ",IF(AND(U12&gt;=0,U12&lt;3),"1"," "))</f>
        <v>1</v>
      </c>
      <c r="AP12" s="90">
        <f>COUNTIF(AH12:AO13,1)</f>
        <v>8</v>
      </c>
      <c r="AQ12" s="90">
        <f>AG12-AC12</f>
        <v>1280</v>
      </c>
      <c r="AR12" s="144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0" t="str">
        <f>COUNTIF(AG$6:AG$134,"&gt;"&amp;AG$6:AG$134)+1&amp;REPT("-"&amp;COUNTIF(AG$6:AG$134,"&gt;="&amp;AG$6:AG$134),COUNTIF(AG$6:AG$134,AG12)&gt;1)</f>
        <v>1-24</v>
      </c>
      <c r="AT12" s="143" t="str">
        <f t="shared" ref="AT12:AW12" si="7">COUNTIF(AU$6:AU$134,"&gt;"&amp;AU$6:AU$134)+1&amp;REPT("-"&amp;COUNTIF(AU$6:AU$134,"&gt;="&amp;AU$6:AU$134),COUNTIF(AU$6:AU$134,AU12)&gt;1)</f>
        <v>1-64</v>
      </c>
      <c r="AU12" s="143" t="str">
        <f t="shared" si="7"/>
        <v>1-0</v>
      </c>
      <c r="AV12" s="143" t="str">
        <f t="shared" si="7"/>
        <v>1</v>
      </c>
      <c r="AW12" s="143" t="str">
        <f t="shared" si="7"/>
        <v>61</v>
      </c>
      <c r="AX12" s="145">
        <f>IF(X12="Х","Х",IF(Y12&lt;3,B12,"Х"))</f>
        <v>4</v>
      </c>
      <c r="AY12" s="222">
        <v>2.0</v>
      </c>
      <c r="AZ12" s="152"/>
      <c r="BA12" s="222">
        <v>2.0</v>
      </c>
      <c r="BB12" s="223"/>
      <c r="BC12" s="222">
        <v>2.0</v>
      </c>
      <c r="BD12" s="224">
        <v>2.0</v>
      </c>
      <c r="BE12" s="222">
        <v>2.0</v>
      </c>
      <c r="BF12" s="225">
        <v>3.0</v>
      </c>
      <c r="BG12" s="222">
        <v>2.0</v>
      </c>
      <c r="BH12" s="222">
        <v>2.0</v>
      </c>
      <c r="BI12" s="226"/>
      <c r="BK12" s="226"/>
      <c r="BM12" s="195">
        <v>4.0</v>
      </c>
      <c r="BN12" s="196">
        <v>3.0</v>
      </c>
      <c r="BO12" s="153" t="str">
        <f>IF(BM12&lt;BN12,BM12,"")</f>
        <v/>
      </c>
      <c r="BP12" s="196" t="s">
        <v>195</v>
      </c>
      <c r="BQ12" s="197">
        <f>IFERROR(__xludf.DUMMYFUNCTION("""COMPUTED_VALUE"""),7.0)</f>
        <v>7</v>
      </c>
      <c r="BR12" s="198">
        <v>4.0</v>
      </c>
      <c r="BS12" s="196">
        <v>2.0</v>
      </c>
      <c r="BT12" s="175" t="str">
        <f>IF(BR12&lt;BS12,BR12,"")</f>
        <v/>
      </c>
      <c r="BU12" s="196" t="s">
        <v>195</v>
      </c>
      <c r="BV12" s="196">
        <f>IFERROR(__xludf.DUMMYFUNCTION("""COMPUTED_VALUE"""),6.0)</f>
        <v>6</v>
      </c>
      <c r="BW12" s="199">
        <v>4.0</v>
      </c>
      <c r="BX12" s="74" t="s">
        <v>194</v>
      </c>
      <c r="BY12" s="160">
        <f t="array" ref="BY12">IF(BW12&lt;BX12,BW12,"")</f>
        <v>4</v>
      </c>
      <c r="BZ12" s="160">
        <f t="shared" si="3"/>
        <v>4</v>
      </c>
      <c r="CA12" s="74">
        <f>IFERROR(__xludf.DUMMYFUNCTION("""COMPUTED_VALUE"""),7.0)</f>
        <v>7</v>
      </c>
      <c r="CB12" s="74">
        <f t="shared" si="4"/>
        <v>7</v>
      </c>
      <c r="CC12" s="74"/>
      <c r="CD12" s="179"/>
      <c r="CE12" s="200">
        <v>4.0</v>
      </c>
      <c r="CF12" s="25" t="s">
        <v>194</v>
      </c>
      <c r="CG12" s="153">
        <f t="array" ref="CG12">IF(CE12&lt;CF12,CE12,"")</f>
        <v>4</v>
      </c>
      <c r="CH12" s="74">
        <v>4.0</v>
      </c>
      <c r="CI12" s="182">
        <f>IFERROR(__xludf.DUMMYFUNCTION("""COMPUTED_VALUE"""),7.0)</f>
        <v>7</v>
      </c>
      <c r="CJ12" s="93">
        <v>4.0</v>
      </c>
      <c r="CK12" s="201" t="s">
        <v>194</v>
      </c>
      <c r="CL12" s="153">
        <f t="array" ref="CL12">IF(CJ12&lt;CK12,CJ12,"")</f>
        <v>4</v>
      </c>
      <c r="CM12" s="52">
        <v>4.0</v>
      </c>
      <c r="CN12" s="52">
        <f>IFERROR(__xludf.DUMMYFUNCTION("""COMPUTED_VALUE"""),7.0)</f>
        <v>7</v>
      </c>
      <c r="CO12" s="196">
        <v>4.0</v>
      </c>
      <c r="CP12" s="202" t="s">
        <v>194</v>
      </c>
      <c r="CQ12" s="153">
        <f t="array" ref="CQ12">IF(CO12&lt;CP12,CO12,"")</f>
        <v>4</v>
      </c>
      <c r="CR12" s="75">
        <v>4.0</v>
      </c>
      <c r="CS12" s="75">
        <f>IFERROR(__xludf.DUMMYFUNCTION("""COMPUTED_VALUE"""),7.0)</f>
        <v>7</v>
      </c>
      <c r="CT12" s="202">
        <v>4.0</v>
      </c>
      <c r="CU12" s="196" t="s">
        <v>194</v>
      </c>
      <c r="CV12" s="153">
        <f t="array" ref="CV12">IF(CT12&lt;CU12,CT12,"")</f>
        <v>4</v>
      </c>
      <c r="CW12" s="52">
        <v>4.0</v>
      </c>
      <c r="CX12" s="52">
        <f>IFERROR(__xludf.DUMMYFUNCTION("""COMPUTED_VALUE"""),7.0)</f>
        <v>7</v>
      </c>
      <c r="CY12" s="202">
        <v>4.0</v>
      </c>
      <c r="CZ12" s="196" t="s">
        <v>194</v>
      </c>
      <c r="DA12" s="153">
        <f t="array" ref="DA12">IF(CY12&lt;CZ12,CY12,"")</f>
        <v>4</v>
      </c>
      <c r="DB12" s="52">
        <v>4.0</v>
      </c>
      <c r="DC12" s="52">
        <f>IFERROR(__xludf.DUMMYFUNCTION("""COMPUTED_VALUE"""),7.0)</f>
        <v>7</v>
      </c>
      <c r="DD12" s="52">
        <v>4.0</v>
      </c>
      <c r="DE12" s="52"/>
      <c r="DF12" s="52"/>
      <c r="DG12" s="52"/>
      <c r="DH12" s="52"/>
    </row>
    <row r="13" ht="13.5" customHeight="1">
      <c r="A13" s="208"/>
      <c r="B13" s="165"/>
      <c r="C13" s="165"/>
      <c r="D13" s="165"/>
      <c r="E13" s="165"/>
      <c r="F13" s="166"/>
      <c r="G13" s="167"/>
      <c r="H13" s="168"/>
      <c r="I13" s="167"/>
      <c r="J13" s="168"/>
      <c r="K13" s="167"/>
      <c r="L13" s="168"/>
      <c r="M13" s="167"/>
      <c r="N13" s="168"/>
      <c r="O13" s="167"/>
      <c r="P13" s="168"/>
      <c r="Q13" s="167"/>
      <c r="R13" s="168"/>
      <c r="S13" s="167"/>
      <c r="T13" s="168"/>
      <c r="U13" s="169"/>
      <c r="V13" s="168"/>
      <c r="W13" s="169"/>
      <c r="X13" s="168"/>
      <c r="Y13" s="167"/>
      <c r="Z13" s="168"/>
      <c r="AA13" s="167"/>
      <c r="AB13" s="166"/>
      <c r="AC13" s="165"/>
      <c r="AD13" s="168"/>
      <c r="AE13" s="170"/>
      <c r="AF13" s="171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Y13" s="227">
        <v>3.0</v>
      </c>
      <c r="AZ13" s="152"/>
      <c r="BA13" s="228">
        <v>3.0</v>
      </c>
      <c r="BB13" s="223"/>
      <c r="BC13" s="227">
        <v>3.0</v>
      </c>
      <c r="BD13" s="224">
        <v>3.0</v>
      </c>
      <c r="BE13" s="227">
        <v>3.0</v>
      </c>
      <c r="BF13" s="225">
        <v>2.0</v>
      </c>
      <c r="BG13" s="227">
        <v>3.0</v>
      </c>
      <c r="BH13" s="227">
        <v>3.0</v>
      </c>
      <c r="BI13" s="229"/>
      <c r="BJ13" s="230"/>
      <c r="BK13" s="231"/>
      <c r="BL13" s="232"/>
      <c r="BM13" s="178"/>
      <c r="BO13" s="175" t="str">
        <f>IF(BO12="","",BN12)</f>
        <v/>
      </c>
      <c r="BP13" s="175" t="s">
        <v>195</v>
      </c>
      <c r="BQ13" s="197">
        <f>IFERROR(__xludf.DUMMYFUNCTION("""COMPUTED_VALUE"""),8.0)</f>
        <v>8</v>
      </c>
      <c r="BT13" s="175" t="str">
        <f>IF(BT12="","",BS12)</f>
        <v/>
      </c>
      <c r="BU13" s="175" t="s">
        <v>195</v>
      </c>
      <c r="BV13" s="196">
        <f>IFERROR(__xludf.DUMMYFUNCTION("""COMPUTED_VALUE"""),8.0)</f>
        <v>8</v>
      </c>
      <c r="BW13" s="178"/>
      <c r="BY13" s="160" t="str">
        <f>IF(BY12="","",BX12)</f>
        <v> </v>
      </c>
      <c r="BZ13" s="160" t="str">
        <f t="shared" si="3"/>
        <v> </v>
      </c>
      <c r="CA13" s="74">
        <f>IFERROR(__xludf.DUMMYFUNCTION("""COMPUTED_VALUE"""),8.0)</f>
        <v>8</v>
      </c>
      <c r="CB13" s="74">
        <f t="shared" si="4"/>
        <v>8</v>
      </c>
      <c r="CC13" s="74"/>
      <c r="CD13" s="179"/>
      <c r="CG13" s="180" t="str">
        <f>IF(CG12="","",CF12)</f>
        <v> </v>
      </c>
      <c r="CH13" s="200" t="s">
        <v>194</v>
      </c>
      <c r="CI13" s="182">
        <f>IFERROR(__xludf.DUMMYFUNCTION("""COMPUTED_VALUE"""),8.0)</f>
        <v>8</v>
      </c>
      <c r="CJ13" s="49" t="s">
        <v>195</v>
      </c>
      <c r="CK13" s="207"/>
      <c r="CL13" s="180" t="str">
        <f>IF(CL12="","",CK12)</f>
        <v> </v>
      </c>
      <c r="CM13" s="52" t="s">
        <v>194</v>
      </c>
      <c r="CN13" s="52">
        <f>IFERROR(__xludf.DUMMYFUNCTION("""COMPUTED_VALUE"""),8.0)</f>
        <v>8</v>
      </c>
      <c r="CQ13" s="180" t="str">
        <f>IF(CQ12="","",CP12)</f>
        <v> </v>
      </c>
      <c r="CR13" s="52" t="s">
        <v>194</v>
      </c>
      <c r="CS13" s="75">
        <f>IFERROR(__xludf.DUMMYFUNCTION("""COMPUTED_VALUE"""),8.0)</f>
        <v>8</v>
      </c>
      <c r="CV13" s="180" t="str">
        <f>IF(CV12="","",CU12)</f>
        <v> </v>
      </c>
      <c r="CW13" s="52" t="s">
        <v>194</v>
      </c>
      <c r="CX13" s="52">
        <f>IFERROR(__xludf.DUMMYFUNCTION("""COMPUTED_VALUE"""),8.0)</f>
        <v>8</v>
      </c>
      <c r="DA13" s="180" t="str">
        <f>IF(DA12="","",CZ12)</f>
        <v> </v>
      </c>
      <c r="DB13" s="52" t="s">
        <v>194</v>
      </c>
      <c r="DC13" s="52">
        <f>IFERROR(__xludf.DUMMYFUNCTION("""COMPUTED_VALUE"""),8.0)</f>
        <v>8</v>
      </c>
      <c r="DD13" s="52" t="s">
        <v>195</v>
      </c>
      <c r="DE13" s="52"/>
      <c r="DF13" s="52"/>
      <c r="DG13" s="52"/>
      <c r="DH13" s="52"/>
    </row>
    <row r="14" ht="13.5" customHeight="1">
      <c r="A14" s="208"/>
      <c r="B14" s="187">
        <v>5.0</v>
      </c>
      <c r="C14" s="188" t="str">
        <f>(VLOOKUP($B14,'Пр.взв'!$D$6:$J$63,2,0))</f>
        <v>ВОЛОВЛИКОВА Дарья</v>
      </c>
      <c r="D14" s="189" t="str">
        <f>(VLOOKUP($B14,'Пр.взв'!$D$6:$J$63,5,0))</f>
        <v>1р</v>
      </c>
      <c r="E14" s="190" t="str">
        <f>(VLOOKUP($B14,'Пр.взв'!$D$6:$M$63,8,0))</f>
        <v>Рязанская</v>
      </c>
      <c r="F14" s="130">
        <v>6.0</v>
      </c>
      <c r="G14" s="131"/>
      <c r="H14" s="132">
        <v>7.0</v>
      </c>
      <c r="I14" s="131"/>
      <c r="J14" s="133" t="str">
        <f>IF(H14="Х","Х",IF($AC14&lt;6," ","Х"))</f>
        <v> </v>
      </c>
      <c r="K14" s="134"/>
      <c r="L14" s="133" t="str">
        <f>IF(J14="Х","Х",IF(K14&lt;3," ",IF($AC14&lt;6," ","Х")))</f>
        <v> </v>
      </c>
      <c r="M14" s="134"/>
      <c r="N14" s="133" t="str">
        <f>IF(L14="Х","Х",IF(M14&lt;3," ",IF($AC14&lt;6," ","Х")))</f>
        <v> </v>
      </c>
      <c r="O14" s="134"/>
      <c r="P14" s="133" t="str">
        <f>IF(N14="Х","Х",IF(O14&lt;3," ",IF($AC14&lt;6," ","Х")))</f>
        <v> </v>
      </c>
      <c r="Q14" s="134"/>
      <c r="R14" s="133" t="str">
        <f>IF(P14="Х","Х",IF(Q14&lt;3," ",IF($AC14&lt;6," ","Х")))</f>
        <v> </v>
      </c>
      <c r="S14" s="134"/>
      <c r="T14" s="133" t="str">
        <f>IF(R14="Х","Х",IF(S14&lt;3," ",IF($AC14&lt;6," ","Х")))</f>
        <v> </v>
      </c>
      <c r="U14" s="135"/>
      <c r="V14" s="133" t="str">
        <f>IF(T14="Х","Х",IF(U14&lt;3," ",IF($AC14&lt;6," ","Х")))</f>
        <v> </v>
      </c>
      <c r="W14" s="135"/>
      <c r="X14" s="133" t="str">
        <f>IF(V14="А1",$AZ$7,IF(V14="Б2",$AZ$6,IF(V14="Б1",$BA$7,IF(V14="А2",$BA$6,IF(V14="Х","Х",IF(V14&lt;6," "," "))))))</f>
        <v> </v>
      </c>
      <c r="Y14" s="136"/>
      <c r="Z14" s="133" t="str">
        <f>IF(V14="Х","Х",IF(ISBLANK(Y14),"",IF(Y14&gt;2.5," ",IF(B14=BB$6,BB$7,BB$6))))</f>
        <v/>
      </c>
      <c r="AA14" s="136"/>
      <c r="AB14" s="137" t="str">
        <f>IF(H14="Х",F$5,IF(J14="Х",H$5,IF(L14="Х",J$5,IF(N14="Х",L$5,IF(P14="Х",N$5,IF(R14="Х",P$5,IF(T14="Х",R$5,IF(X14="Х",T$5,""))))))))</f>
        <v/>
      </c>
      <c r="AC14" s="138">
        <f>SUM(G14+I14+K14+M14+O14+Q14+S14+U14+Y14+AA14)</f>
        <v>0</v>
      </c>
      <c r="AD14" s="139" t="str">
        <f>AF14</f>
        <v>1-24</v>
      </c>
      <c r="AE14" s="140" t="str">
        <f>AD14</f>
        <v>1-24</v>
      </c>
      <c r="AF14" s="141" t="str">
        <f>COUNTIF(AG$6:AG$148,"&gt;"&amp;AG$6:AG$148)+1&amp;REPT("-"&amp;COUNTIF(AG$6:AG$148,"&gt;="&amp;AG$6:AG$148),COUNTIF(AG$6:AG$148,AG14)&gt;1)</f>
        <v>1-24</v>
      </c>
      <c r="AG14" s="142">
        <f>(AR14*100)+(AP14*10)-AC14</f>
        <v>1280</v>
      </c>
      <c r="AH14" s="143" t="str">
        <f>IF(OR(F14="Х",F14="св")," ",IF(AND(G14&gt;=0,G14&lt;3),"1"," "))</f>
        <v>1</v>
      </c>
      <c r="AI14" s="90" t="str">
        <f>IF(OR(H14="Х",H14="св")," ",IF(AND(I14&gt;=0,I14&lt;3),"1"," "))</f>
        <v>1</v>
      </c>
      <c r="AJ14" s="90" t="str">
        <f>IF(OR(J14="Х",J14="св")," ",IF(AND(K14&gt;=0,K14&lt;3),"1"," "))</f>
        <v>1</v>
      </c>
      <c r="AK14" s="90" t="str">
        <f>IF(OR(L14="Х",L14="св")," ",IF(AND(M14&gt;=0,M14&lt;3),"1"," "))</f>
        <v>1</v>
      </c>
      <c r="AL14" s="90" t="str">
        <f>IF(OR(N14="Х",N14="св")," ",IF(AND(O14&gt;=0,O14&lt;3),"1"," "))</f>
        <v>1</v>
      </c>
      <c r="AM14" s="90" t="str">
        <f>IF(OR(P14="Х",P14="св")," ",IF(AND(Q14&gt;=0,Q14&lt;3),"1"," "))</f>
        <v>1</v>
      </c>
      <c r="AN14" s="90" t="str">
        <f>IF(OR(R14="Х",R14="св")," ",IF(AND(S14&gt;=0,S14&lt;3),"1"," "))</f>
        <v>1</v>
      </c>
      <c r="AO14" s="90" t="str">
        <f>IF(OR(T14="Х",T14="св")," ",IF(AND(U14&gt;=0,U14&lt;3),"1"," "))</f>
        <v>1</v>
      </c>
      <c r="AP14" s="90">
        <f>COUNTIF(AH14:AO15,1)</f>
        <v>8</v>
      </c>
      <c r="AQ14" s="90">
        <f>AG14-AC14</f>
        <v>1280</v>
      </c>
      <c r="AR14" s="144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0" t="str">
        <f>COUNTIF(AG$6:AG$134,"&gt;"&amp;AG$6:AG$134)+1&amp;REPT("-"&amp;COUNTIF(AG$6:AG$134,"&gt;="&amp;AG$6:AG$134),COUNTIF(AG$6:AG$134,AG14)&gt;1)</f>
        <v>1-24</v>
      </c>
      <c r="AT14" s="143" t="str">
        <f t="shared" ref="AT14:AW14" si="8">COUNTIF(AU$6:AU$134,"&gt;"&amp;AU$6:AU$134)+1&amp;REPT("-"&amp;COUNTIF(AU$6:AU$134,"&gt;="&amp;AU$6:AU$134),COUNTIF(AU$6:AU$134,AU14)&gt;1)</f>
        <v>1-64</v>
      </c>
      <c r="AU14" s="143" t="str">
        <f t="shared" si="8"/>
        <v>1-0</v>
      </c>
      <c r="AV14" s="143" t="str">
        <f t="shared" si="8"/>
        <v>1</v>
      </c>
      <c r="AW14" s="143" t="str">
        <f t="shared" si="8"/>
        <v>60</v>
      </c>
      <c r="AX14" s="145">
        <f>IF(X14="Х","Х",IF(Y14&lt;3,B14,"Х"))</f>
        <v>5</v>
      </c>
      <c r="AY14" s="222">
        <v>4.0</v>
      </c>
      <c r="AZ14" s="152"/>
      <c r="BA14" s="222">
        <v>4.0</v>
      </c>
      <c r="BB14" s="223"/>
      <c r="BC14" s="222">
        <v>4.0</v>
      </c>
      <c r="BD14" s="224">
        <v>4.0</v>
      </c>
      <c r="BE14" s="222">
        <v>4.0</v>
      </c>
      <c r="BF14" s="225">
        <v>4.0</v>
      </c>
      <c r="BG14" s="222">
        <v>4.0</v>
      </c>
      <c r="BH14" s="222">
        <v>4.0</v>
      </c>
      <c r="BI14" s="229"/>
      <c r="BJ14" s="230"/>
      <c r="BK14" s="231"/>
      <c r="BL14" s="232"/>
      <c r="BM14" s="195">
        <v>5.0</v>
      </c>
      <c r="BN14" s="196">
        <v>6.0</v>
      </c>
      <c r="BO14" s="153">
        <f>IF(BM14&lt;BN14,BM14,"")</f>
        <v>5</v>
      </c>
      <c r="BP14" s="196">
        <v>5.0</v>
      </c>
      <c r="BQ14" s="197">
        <f>IFERROR(__xludf.DUMMYFUNCTION("""COMPUTED_VALUE"""),9.0)</f>
        <v>9</v>
      </c>
      <c r="BR14" s="198">
        <v>5.0</v>
      </c>
      <c r="BS14" s="196">
        <v>7.0</v>
      </c>
      <c r="BT14" s="175">
        <f>IF(BR14&lt;BS14,BR14,"")</f>
        <v>5</v>
      </c>
      <c r="BU14" s="196">
        <v>5.0</v>
      </c>
      <c r="BV14" s="196">
        <f>IFERROR(__xludf.DUMMYFUNCTION("""COMPUTED_VALUE"""),9.0)</f>
        <v>9</v>
      </c>
      <c r="BW14" s="199">
        <v>5.0</v>
      </c>
      <c r="BX14" s="74" t="s">
        <v>194</v>
      </c>
      <c r="BY14" s="160">
        <f t="array" ref="BY14">IF(BW14&lt;BX14,BW14,"")</f>
        <v>5</v>
      </c>
      <c r="BZ14" s="160">
        <f t="shared" si="3"/>
        <v>5</v>
      </c>
      <c r="CA14" s="74">
        <f>IFERROR(__xludf.DUMMYFUNCTION("""COMPUTED_VALUE"""),9.0)</f>
        <v>9</v>
      </c>
      <c r="CB14" s="74">
        <f t="shared" si="4"/>
        <v>9</v>
      </c>
      <c r="CC14" s="74"/>
      <c r="CD14" s="179"/>
      <c r="CE14" s="200">
        <v>5.0</v>
      </c>
      <c r="CF14" s="25" t="s">
        <v>194</v>
      </c>
      <c r="CG14" s="153">
        <f t="array" ref="CG14">IF(CE14&lt;CF14,CE14,"")</f>
        <v>5</v>
      </c>
      <c r="CH14" s="74">
        <v>5.0</v>
      </c>
      <c r="CI14" s="182">
        <f>IFERROR(__xludf.DUMMYFUNCTION("""COMPUTED_VALUE"""),9.0)</f>
        <v>9</v>
      </c>
      <c r="CJ14" s="93">
        <v>5.0</v>
      </c>
      <c r="CK14" s="201" t="s">
        <v>194</v>
      </c>
      <c r="CL14" s="153">
        <f t="array" ref="CL14">IF(CJ14&lt;CK14,CJ14,"")</f>
        <v>5</v>
      </c>
      <c r="CM14" s="52">
        <v>5.0</v>
      </c>
      <c r="CN14" s="52">
        <f>IFERROR(__xludf.DUMMYFUNCTION("""COMPUTED_VALUE"""),9.0)</f>
        <v>9</v>
      </c>
      <c r="CO14" s="196">
        <v>5.0</v>
      </c>
      <c r="CP14" s="202" t="s">
        <v>194</v>
      </c>
      <c r="CQ14" s="153">
        <f t="array" ref="CQ14">IF(CO14&lt;CP14,CO14,"")</f>
        <v>5</v>
      </c>
      <c r="CR14" s="75">
        <v>5.0</v>
      </c>
      <c r="CS14" s="75">
        <f>IFERROR(__xludf.DUMMYFUNCTION("""COMPUTED_VALUE"""),9.0)</f>
        <v>9</v>
      </c>
      <c r="CT14" s="202">
        <v>5.0</v>
      </c>
      <c r="CU14" s="196" t="s">
        <v>194</v>
      </c>
      <c r="CV14" s="153">
        <f t="array" ref="CV14">IF(CT14&lt;CU14,CT14,"")</f>
        <v>5</v>
      </c>
      <c r="CW14" s="52">
        <v>5.0</v>
      </c>
      <c r="CX14" s="52">
        <f>IFERROR(__xludf.DUMMYFUNCTION("""COMPUTED_VALUE"""),9.0)</f>
        <v>9</v>
      </c>
      <c r="CY14" s="202">
        <v>5.0</v>
      </c>
      <c r="CZ14" s="196" t="s">
        <v>194</v>
      </c>
      <c r="DA14" s="153">
        <f t="array" ref="DA14">IF(CY14&lt;CZ14,CY14,"")</f>
        <v>5</v>
      </c>
      <c r="DB14" s="52">
        <v>5.0</v>
      </c>
      <c r="DC14" s="52">
        <f>IFERROR(__xludf.DUMMYFUNCTION("""COMPUTED_VALUE"""),9.0)</f>
        <v>9</v>
      </c>
      <c r="DD14" s="52">
        <v>5.0</v>
      </c>
      <c r="DE14" s="52"/>
      <c r="DF14" s="52"/>
      <c r="DG14" s="52"/>
      <c r="DH14" s="52"/>
    </row>
    <row r="15" ht="13.5" customHeight="1">
      <c r="A15" s="208"/>
      <c r="B15" s="165"/>
      <c r="C15" s="165"/>
      <c r="D15" s="165"/>
      <c r="E15" s="165"/>
      <c r="F15" s="166"/>
      <c r="G15" s="167"/>
      <c r="H15" s="168"/>
      <c r="I15" s="167"/>
      <c r="J15" s="168"/>
      <c r="K15" s="167"/>
      <c r="L15" s="168"/>
      <c r="M15" s="167"/>
      <c r="N15" s="168"/>
      <c r="O15" s="167"/>
      <c r="P15" s="168"/>
      <c r="Q15" s="167"/>
      <c r="R15" s="168"/>
      <c r="S15" s="167"/>
      <c r="T15" s="168"/>
      <c r="U15" s="169"/>
      <c r="V15" s="168"/>
      <c r="W15" s="169"/>
      <c r="X15" s="168"/>
      <c r="Y15" s="167"/>
      <c r="Z15" s="168"/>
      <c r="AA15" s="167"/>
      <c r="AB15" s="166"/>
      <c r="AC15" s="165"/>
      <c r="AD15" s="168"/>
      <c r="AE15" s="170"/>
      <c r="AF15" s="171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Y15" s="227">
        <v>5.0</v>
      </c>
      <c r="AZ15" s="152"/>
      <c r="BA15" s="228">
        <v>5.0</v>
      </c>
      <c r="BB15" s="223"/>
      <c r="BC15" s="227">
        <v>5.0</v>
      </c>
      <c r="BD15" s="224">
        <v>5.0</v>
      </c>
      <c r="BE15" s="227">
        <v>5.0</v>
      </c>
      <c r="BF15" s="225">
        <v>5.0</v>
      </c>
      <c r="BG15" s="227">
        <v>5.0</v>
      </c>
      <c r="BH15" s="227">
        <v>5.0</v>
      </c>
      <c r="BI15" s="229"/>
      <c r="BJ15" s="230"/>
      <c r="BK15" s="231"/>
      <c r="BL15" s="232"/>
      <c r="BM15" s="178"/>
      <c r="BO15" s="175">
        <f>IF(BO14="","",BN14)</f>
        <v>6</v>
      </c>
      <c r="BP15" s="175">
        <v>6.0</v>
      </c>
      <c r="BQ15" s="197">
        <f>IFERROR(__xludf.DUMMYFUNCTION("""COMPUTED_VALUE"""),10.0)</f>
        <v>10</v>
      </c>
      <c r="BT15" s="175">
        <f>IF(BT14="","",BS14)</f>
        <v>7</v>
      </c>
      <c r="BU15" s="175">
        <v>7.0</v>
      </c>
      <c r="BV15" s="196">
        <f>IFERROR(__xludf.DUMMYFUNCTION("""COMPUTED_VALUE"""),11.0)</f>
        <v>11</v>
      </c>
      <c r="BW15" s="178"/>
      <c r="BY15" s="160" t="str">
        <f>IF(BY14="","",BX14)</f>
        <v> </v>
      </c>
      <c r="BZ15" s="160" t="str">
        <f t="shared" si="3"/>
        <v> </v>
      </c>
      <c r="CA15" s="74">
        <f>IFERROR(__xludf.DUMMYFUNCTION("""COMPUTED_VALUE"""),10.0)</f>
        <v>10</v>
      </c>
      <c r="CB15" s="74">
        <f t="shared" si="4"/>
        <v>10</v>
      </c>
      <c r="CC15" s="74"/>
      <c r="CD15" s="179"/>
      <c r="CG15" s="180" t="str">
        <f>IF(CG14="","",CF14)</f>
        <v> </v>
      </c>
      <c r="CH15" s="200" t="s">
        <v>194</v>
      </c>
      <c r="CI15" s="182">
        <f>IFERROR(__xludf.DUMMYFUNCTION("""COMPUTED_VALUE"""),10.0)</f>
        <v>10</v>
      </c>
      <c r="CJ15" s="49" t="s">
        <v>195</v>
      </c>
      <c r="CK15" s="207"/>
      <c r="CL15" s="180" t="str">
        <f>IF(CL14="","",CK14)</f>
        <v> </v>
      </c>
      <c r="CM15" s="52" t="s">
        <v>194</v>
      </c>
      <c r="CN15" s="52">
        <f>IFERROR(__xludf.DUMMYFUNCTION("""COMPUTED_VALUE"""),10.0)</f>
        <v>10</v>
      </c>
      <c r="CQ15" s="180" t="str">
        <f>IF(CQ14="","",CP14)</f>
        <v> </v>
      </c>
      <c r="CR15" s="52" t="s">
        <v>194</v>
      </c>
      <c r="CS15" s="75">
        <f>IFERROR(__xludf.DUMMYFUNCTION("""COMPUTED_VALUE"""),10.0)</f>
        <v>10</v>
      </c>
      <c r="CV15" s="180" t="str">
        <f>IF(CV14="","",CU14)</f>
        <v> </v>
      </c>
      <c r="CW15" s="52" t="s">
        <v>194</v>
      </c>
      <c r="CX15" s="52">
        <f>IFERROR(__xludf.DUMMYFUNCTION("""COMPUTED_VALUE"""),10.0)</f>
        <v>10</v>
      </c>
      <c r="DA15" s="180" t="str">
        <f>IF(DA14="","",CZ14)</f>
        <v> </v>
      </c>
      <c r="DB15" s="52" t="s">
        <v>194</v>
      </c>
      <c r="DC15" s="52">
        <f>IFERROR(__xludf.DUMMYFUNCTION("""COMPUTED_VALUE"""),10.0)</f>
        <v>10</v>
      </c>
      <c r="DD15" s="52" t="s">
        <v>195</v>
      </c>
      <c r="DE15" s="52"/>
      <c r="DF15" s="52"/>
      <c r="DG15" s="52"/>
      <c r="DH15" s="52"/>
    </row>
    <row r="16" ht="13.5" customHeight="1">
      <c r="A16" s="208"/>
      <c r="B16" s="187">
        <v>6.0</v>
      </c>
      <c r="C16" s="188" t="str">
        <f>(VLOOKUP($B16,'Пр.взв'!$D$6:$J$63,2,0))</f>
        <v>ТУРКИНА Варвара</v>
      </c>
      <c r="D16" s="189" t="str">
        <f>(VLOOKUP($B16,'Пр.взв'!$D$6:$J$63,5,0))</f>
        <v>1р</v>
      </c>
      <c r="E16" s="190" t="str">
        <f>(VLOOKUP($B16,'Пр.взв'!$D$6:$M$63,8,0))</f>
        <v>Оренбургская</v>
      </c>
      <c r="F16" s="130">
        <v>5.0</v>
      </c>
      <c r="G16" s="131"/>
      <c r="H16" s="132">
        <v>8.0</v>
      </c>
      <c r="I16" s="131"/>
      <c r="J16" s="133" t="str">
        <f>IF(H16="Х","Х",IF($AC16&lt;6," ","Х"))</f>
        <v> </v>
      </c>
      <c r="K16" s="134"/>
      <c r="L16" s="133" t="str">
        <f>IF(J16="Х","Х",IF(K16&lt;3," ",IF($AC16&lt;6," ","Х")))</f>
        <v> </v>
      </c>
      <c r="M16" s="134"/>
      <c r="N16" s="133" t="str">
        <f>IF(L16="Х","Х",IF(M16&lt;3," ",IF($AC16&lt;6," ","Х")))</f>
        <v> </v>
      </c>
      <c r="O16" s="134"/>
      <c r="P16" s="133" t="str">
        <f>IF(N16="Х","Х",IF(O16&lt;3," ",IF($AC16&lt;6," ","Х")))</f>
        <v> </v>
      </c>
      <c r="Q16" s="134"/>
      <c r="R16" s="133" t="str">
        <f>IF(P16="Х","Х",IF(Q16&lt;3," ",IF($AC16&lt;6," ","Х")))</f>
        <v> </v>
      </c>
      <c r="S16" s="134"/>
      <c r="T16" s="133" t="str">
        <f>IF(R16="Х","Х",IF(S16&lt;3," ",IF($AC16&lt;6," ","Х")))</f>
        <v> </v>
      </c>
      <c r="U16" s="135"/>
      <c r="V16" s="133" t="str">
        <f>IF(T16="Х","Х",IF(U16&lt;3," ",IF($AC16&lt;6," ","Х")))</f>
        <v> </v>
      </c>
      <c r="W16" s="135"/>
      <c r="X16" s="133" t="str">
        <f>IF(V16="А1",$AZ$7,IF(V16="Б2",$AZ$6,IF(V16="Б1",$BA$7,IF(V16="А2",$BA$6,IF(V16="Х","Х",IF(V16&lt;6," "," "))))))</f>
        <v> </v>
      </c>
      <c r="Y16" s="136"/>
      <c r="Z16" s="133" t="str">
        <f>IF(V16="Х","Х",IF(ISBLANK(Y16),"",IF(Y16&gt;2.5," ",IF(B16=BB$6,BB$7,BB$6))))</f>
        <v/>
      </c>
      <c r="AA16" s="136"/>
      <c r="AB16" s="137" t="str">
        <f>IF(H16="Х",F$5,IF(J16="Х",H$5,IF(L16="Х",J$5,IF(N16="Х",L$5,IF(P16="Х",N$5,IF(R16="Х",P$5,IF(T16="Х",R$5,IF(X16="Х",T$5,""))))))))</f>
        <v/>
      </c>
      <c r="AC16" s="138">
        <f>SUM(G16+I16+K16+M16+O16+Q16+S16+U16+Y16+AA16)</f>
        <v>0</v>
      </c>
      <c r="AD16" s="139" t="str">
        <f>AF16</f>
        <v>1-24</v>
      </c>
      <c r="AE16" s="140" t="str">
        <f>AD16</f>
        <v>1-24</v>
      </c>
      <c r="AF16" s="141" t="str">
        <f>COUNTIF(AG$6:AG$148,"&gt;"&amp;AG$6:AG$148)+1&amp;REPT("-"&amp;COUNTIF(AG$6:AG$148,"&gt;="&amp;AG$6:AG$148),COUNTIF(AG$6:AG$148,AG16)&gt;1)</f>
        <v>1-24</v>
      </c>
      <c r="AG16" s="142">
        <f>(AR16*100)+(AP16*10)-AC16</f>
        <v>1280</v>
      </c>
      <c r="AH16" s="143" t="str">
        <f>IF(OR(F16="Х",F16="св")," ",IF(AND(G16&gt;=0,G16&lt;3),"1"," "))</f>
        <v>1</v>
      </c>
      <c r="AI16" s="90" t="str">
        <f>IF(OR(H16="Х",H16="св")," ",IF(AND(I16&gt;=0,I16&lt;3),"1"," "))</f>
        <v>1</v>
      </c>
      <c r="AJ16" s="90" t="str">
        <f>IF(OR(J16="Х",J16="св")," ",IF(AND(K16&gt;=0,K16&lt;3),"1"," "))</f>
        <v>1</v>
      </c>
      <c r="AK16" s="90" t="str">
        <f>IF(OR(L16="Х",L16="св")," ",IF(AND(M16&gt;=0,M16&lt;3),"1"," "))</f>
        <v>1</v>
      </c>
      <c r="AL16" s="90" t="str">
        <f>IF(OR(N16="Х",N16="св")," ",IF(AND(O16&gt;=0,O16&lt;3),"1"," "))</f>
        <v>1</v>
      </c>
      <c r="AM16" s="90" t="str">
        <f>IF(OR(P16="Х",P16="св")," ",IF(AND(Q16&gt;=0,Q16&lt;3),"1"," "))</f>
        <v>1</v>
      </c>
      <c r="AN16" s="90" t="str">
        <f>IF(OR(R16="Х",R16="св")," ",IF(AND(S16&gt;=0,S16&lt;3),"1"," "))</f>
        <v>1</v>
      </c>
      <c r="AO16" s="90" t="str">
        <f>IF(OR(T16="Х",T16="св")," ",IF(AND(U16&gt;=0,U16&lt;3),"1"," "))</f>
        <v>1</v>
      </c>
      <c r="AP16" s="90">
        <f>COUNTIF(AH16:AO17,1)</f>
        <v>8</v>
      </c>
      <c r="AQ16" s="90">
        <f>AG16-AC16</f>
        <v>1280</v>
      </c>
      <c r="AR16" s="144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0" t="str">
        <f>COUNTIF(AG$6:AG$134,"&gt;"&amp;AG$6:AG$134)+1&amp;REPT("-"&amp;COUNTIF(AG$6:AG$134,"&gt;="&amp;AG$6:AG$134),COUNTIF(AG$6:AG$134,AG16)&gt;1)</f>
        <v>1-24</v>
      </c>
      <c r="AT16" s="143" t="str">
        <f t="shared" ref="AT16:AW16" si="9">COUNTIF(AU$6:AU$134,"&gt;"&amp;AU$6:AU$134)+1&amp;REPT("-"&amp;COUNTIF(AU$6:AU$134,"&gt;="&amp;AU$6:AU$134),COUNTIF(AU$6:AU$134,AU16)&gt;1)</f>
        <v>1-64</v>
      </c>
      <c r="AU16" s="143" t="str">
        <f t="shared" si="9"/>
        <v>1-0</v>
      </c>
      <c r="AV16" s="143" t="str">
        <f t="shared" si="9"/>
        <v>1</v>
      </c>
      <c r="AW16" s="143" t="str">
        <f t="shared" si="9"/>
        <v>59</v>
      </c>
      <c r="AX16" s="145">
        <f>IF(X16="Х","Х",IF(Y16&lt;3,B16,"Х"))</f>
        <v>6</v>
      </c>
      <c r="AY16" s="222">
        <v>6.0</v>
      </c>
      <c r="AZ16" s="152"/>
      <c r="BA16" s="222">
        <v>6.0</v>
      </c>
      <c r="BB16" s="223"/>
      <c r="BC16" s="222">
        <v>6.0</v>
      </c>
      <c r="BD16" s="225">
        <v>6.0</v>
      </c>
      <c r="BE16" s="222">
        <v>6.0</v>
      </c>
      <c r="BF16" s="225">
        <v>7.0</v>
      </c>
      <c r="BG16" s="222">
        <v>6.0</v>
      </c>
      <c r="BH16" s="222">
        <v>6.0</v>
      </c>
      <c r="BI16" s="229"/>
      <c r="BJ16" s="230"/>
      <c r="BK16" s="231"/>
      <c r="BL16" s="232"/>
      <c r="BM16" s="195">
        <v>6.0</v>
      </c>
      <c r="BN16" s="196">
        <v>5.0</v>
      </c>
      <c r="BO16" s="153" t="str">
        <f>IF(BM16&lt;BN16,BM16,"")</f>
        <v/>
      </c>
      <c r="BP16" s="196" t="s">
        <v>195</v>
      </c>
      <c r="BQ16" s="197">
        <f>IFERROR(__xludf.DUMMYFUNCTION("""COMPUTED_VALUE"""),11.0)</f>
        <v>11</v>
      </c>
      <c r="BR16" s="198">
        <v>6.0</v>
      </c>
      <c r="BS16" s="196">
        <v>8.0</v>
      </c>
      <c r="BT16" s="175">
        <f>IF(BR16&lt;BS16,BR16,"")</f>
        <v>6</v>
      </c>
      <c r="BU16" s="196">
        <v>6.0</v>
      </c>
      <c r="BV16" s="196">
        <f>IFERROR(__xludf.DUMMYFUNCTION("""COMPUTED_VALUE"""),10.0)</f>
        <v>10</v>
      </c>
      <c r="BW16" s="199">
        <v>6.0</v>
      </c>
      <c r="BX16" s="74" t="s">
        <v>194</v>
      </c>
      <c r="BY16" s="160">
        <f t="array" ref="BY16">IF(BW16&lt;BX16,BW16,"")</f>
        <v>6</v>
      </c>
      <c r="BZ16" s="160">
        <f t="shared" si="3"/>
        <v>6</v>
      </c>
      <c r="CA16" s="74">
        <f>IFERROR(__xludf.DUMMYFUNCTION("""COMPUTED_VALUE"""),11.0)</f>
        <v>11</v>
      </c>
      <c r="CB16" s="74">
        <f t="shared" si="4"/>
        <v>11</v>
      </c>
      <c r="CC16" s="74"/>
      <c r="CD16" s="179"/>
      <c r="CE16" s="200">
        <v>6.0</v>
      </c>
      <c r="CF16" s="25" t="s">
        <v>194</v>
      </c>
      <c r="CG16" s="153">
        <f t="array" ref="CG16">IF(CE16&lt;CF16,CE16,"")</f>
        <v>6</v>
      </c>
      <c r="CH16" s="74">
        <v>6.0</v>
      </c>
      <c r="CI16" s="182">
        <f>IFERROR(__xludf.DUMMYFUNCTION("""COMPUTED_VALUE"""),11.0)</f>
        <v>11</v>
      </c>
      <c r="CJ16" s="93">
        <v>6.0</v>
      </c>
      <c r="CK16" s="233" t="s">
        <v>194</v>
      </c>
      <c r="CL16" s="153">
        <f t="array" ref="CL16">IF(CJ16&lt;CK16,CJ16,"")</f>
        <v>6</v>
      </c>
      <c r="CM16" s="49">
        <v>6.0</v>
      </c>
      <c r="CN16" s="49">
        <f>IFERROR(__xludf.DUMMYFUNCTION("""COMPUTED_VALUE"""),11.0)</f>
        <v>11</v>
      </c>
      <c r="CO16" s="74">
        <v>6.0</v>
      </c>
      <c r="CP16" s="200" t="s">
        <v>194</v>
      </c>
      <c r="CQ16" s="153">
        <f t="array" ref="CQ16">IF(CO16&lt;CP16,CO16,"")</f>
        <v>6</v>
      </c>
      <c r="CR16" s="93">
        <v>6.0</v>
      </c>
      <c r="CS16" s="234">
        <f>IFERROR(__xludf.DUMMYFUNCTION("""COMPUTED_VALUE"""),11.0)</f>
        <v>11</v>
      </c>
      <c r="CT16" s="200">
        <v>6.0</v>
      </c>
      <c r="CU16" s="74" t="s">
        <v>194</v>
      </c>
      <c r="CV16" s="153">
        <f t="array" ref="CV16">IF(CT16&lt;CU16,CT16,"")</f>
        <v>6</v>
      </c>
      <c r="CW16" s="49">
        <v>6.0</v>
      </c>
      <c r="CX16" s="49">
        <f>IFERROR(__xludf.DUMMYFUNCTION("""COMPUTED_VALUE"""),11.0)</f>
        <v>11</v>
      </c>
      <c r="CY16" s="200">
        <v>6.0</v>
      </c>
      <c r="CZ16" s="74" t="s">
        <v>194</v>
      </c>
      <c r="DA16" s="153">
        <f t="array" ref="DA16">IF(CY16&lt;CZ16,CY16,"")</f>
        <v>6</v>
      </c>
      <c r="DB16" s="49">
        <v>6.0</v>
      </c>
      <c r="DC16" s="49">
        <f>IFERROR(__xludf.DUMMYFUNCTION("""COMPUTED_VALUE"""),11.0)</f>
        <v>11</v>
      </c>
      <c r="DD16" s="49">
        <v>6.0</v>
      </c>
      <c r="DE16" s="49"/>
      <c r="DF16" s="49"/>
      <c r="DG16" s="49"/>
      <c r="DH16" s="49"/>
    </row>
    <row r="17" ht="13.5" customHeight="1">
      <c r="A17" s="208"/>
      <c r="B17" s="165"/>
      <c r="C17" s="165"/>
      <c r="D17" s="165"/>
      <c r="E17" s="165"/>
      <c r="F17" s="166"/>
      <c r="G17" s="167"/>
      <c r="H17" s="168"/>
      <c r="I17" s="167"/>
      <c r="J17" s="168"/>
      <c r="K17" s="167"/>
      <c r="L17" s="168"/>
      <c r="M17" s="167"/>
      <c r="N17" s="168"/>
      <c r="O17" s="167"/>
      <c r="P17" s="168"/>
      <c r="Q17" s="167"/>
      <c r="R17" s="168"/>
      <c r="S17" s="167"/>
      <c r="T17" s="168"/>
      <c r="U17" s="169"/>
      <c r="V17" s="168"/>
      <c r="W17" s="169"/>
      <c r="X17" s="168"/>
      <c r="Y17" s="167"/>
      <c r="Z17" s="168"/>
      <c r="AA17" s="167"/>
      <c r="AB17" s="166"/>
      <c r="AC17" s="165"/>
      <c r="AD17" s="168"/>
      <c r="AE17" s="170"/>
      <c r="AF17" s="171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Y17" s="227">
        <v>7.0</v>
      </c>
      <c r="AZ17" s="152"/>
      <c r="BA17" s="228">
        <v>7.0</v>
      </c>
      <c r="BB17" s="223"/>
      <c r="BC17" s="227">
        <v>7.0</v>
      </c>
      <c r="BD17" s="225">
        <v>7.0</v>
      </c>
      <c r="BE17" s="227">
        <v>7.0</v>
      </c>
      <c r="BF17" s="225">
        <v>6.0</v>
      </c>
      <c r="BG17" s="227">
        <v>7.0</v>
      </c>
      <c r="BH17" s="227">
        <v>7.0</v>
      </c>
      <c r="BI17" s="229"/>
      <c r="BJ17" s="230"/>
      <c r="BK17" s="231"/>
      <c r="BL17" s="232"/>
      <c r="BM17" s="178"/>
      <c r="BO17" s="175" t="str">
        <f>IF(BO16="","",BN16)</f>
        <v/>
      </c>
      <c r="BP17" s="175" t="s">
        <v>195</v>
      </c>
      <c r="BQ17" s="197">
        <f>IFERROR(__xludf.DUMMYFUNCTION("""COMPUTED_VALUE"""),12.0)</f>
        <v>12</v>
      </c>
      <c r="BT17" s="175">
        <f>IF(BT16="","",BS16)</f>
        <v>8</v>
      </c>
      <c r="BU17" s="175">
        <v>8.0</v>
      </c>
      <c r="BV17" s="196">
        <f>IFERROR(__xludf.DUMMYFUNCTION("""COMPUTED_VALUE"""),12.0)</f>
        <v>12</v>
      </c>
      <c r="BW17" s="178"/>
      <c r="BY17" s="160" t="str">
        <f>IF(BY16="","",BX16)</f>
        <v> </v>
      </c>
      <c r="BZ17" s="160" t="str">
        <f t="shared" si="3"/>
        <v> </v>
      </c>
      <c r="CA17" s="74">
        <f>IFERROR(__xludf.DUMMYFUNCTION("""COMPUTED_VALUE"""),12.0)</f>
        <v>12</v>
      </c>
      <c r="CB17" s="74">
        <f t="shared" si="4"/>
        <v>12</v>
      </c>
      <c r="CC17" s="74"/>
      <c r="CD17" s="179"/>
      <c r="CG17" s="180" t="str">
        <f>IF(CG16="","",CF16)</f>
        <v> </v>
      </c>
      <c r="CH17" s="200" t="s">
        <v>194</v>
      </c>
      <c r="CI17" s="182">
        <f>IFERROR(__xludf.DUMMYFUNCTION("""COMPUTED_VALUE"""),12.0)</f>
        <v>12</v>
      </c>
      <c r="CJ17" s="49" t="s">
        <v>195</v>
      </c>
      <c r="CK17" s="235"/>
      <c r="CL17" s="180" t="str">
        <f>IF(CL16="","",CK16)</f>
        <v> </v>
      </c>
      <c r="CM17" s="49" t="s">
        <v>194</v>
      </c>
      <c r="CN17" s="49">
        <f>IFERROR(__xludf.DUMMYFUNCTION("""COMPUTED_VALUE"""),12.0)</f>
        <v>12</v>
      </c>
      <c r="CQ17" s="180" t="str">
        <f>IF(CQ16="","",CP16)</f>
        <v> </v>
      </c>
      <c r="CR17" s="49" t="s">
        <v>194</v>
      </c>
      <c r="CS17" s="234">
        <f>IFERROR(__xludf.DUMMYFUNCTION("""COMPUTED_VALUE"""),12.0)</f>
        <v>12</v>
      </c>
      <c r="CV17" s="180" t="str">
        <f>IF(CV16="","",CU16)</f>
        <v> </v>
      </c>
      <c r="CW17" s="49" t="s">
        <v>194</v>
      </c>
      <c r="CX17" s="49">
        <f>IFERROR(__xludf.DUMMYFUNCTION("""COMPUTED_VALUE"""),12.0)</f>
        <v>12</v>
      </c>
      <c r="DA17" s="180" t="str">
        <f>IF(DA16="","",CZ16)</f>
        <v> </v>
      </c>
      <c r="DB17" s="49" t="s">
        <v>194</v>
      </c>
      <c r="DC17" s="49">
        <f>IFERROR(__xludf.DUMMYFUNCTION("""COMPUTED_VALUE"""),12.0)</f>
        <v>12</v>
      </c>
      <c r="DD17" s="49" t="s">
        <v>195</v>
      </c>
      <c r="DE17" s="49"/>
      <c r="DF17" s="49"/>
      <c r="DG17" s="49"/>
      <c r="DH17" s="49"/>
    </row>
    <row r="18" ht="13.5" customHeight="1">
      <c r="A18" s="208"/>
      <c r="B18" s="187">
        <v>7.0</v>
      </c>
      <c r="C18" s="188" t="str">
        <f>(VLOOKUP($B18,'Пр.взв'!$D$6:$J$63,2,0))</f>
        <v>КРУХ Юлия</v>
      </c>
      <c r="D18" s="189" t="str">
        <f>(VLOOKUP($B18,'Пр.взв'!$D$6:$J$63,5,0))</f>
        <v>2р</v>
      </c>
      <c r="E18" s="190" t="str">
        <f>(VLOOKUP($B18,'Пр.взв'!$D$6:$M$63,8,0))</f>
        <v>Еврейская АО</v>
      </c>
      <c r="F18" s="130">
        <v>8.0</v>
      </c>
      <c r="G18" s="131"/>
      <c r="H18" s="132">
        <v>5.0</v>
      </c>
      <c r="I18" s="131"/>
      <c r="J18" s="133" t="str">
        <f>IF(H18="Х","Х",IF($AC18&lt;6," ","Х"))</f>
        <v> </v>
      </c>
      <c r="K18" s="134"/>
      <c r="L18" s="133" t="str">
        <f>IF(J18="Х","Х",IF(K18&lt;3," ",IF($AC18&lt;6," ","Х")))</f>
        <v> </v>
      </c>
      <c r="M18" s="134"/>
      <c r="N18" s="133" t="str">
        <f>IF(L18="Х","Х",IF(M18&lt;3," ",IF($AC18&lt;6," ","Х")))</f>
        <v> </v>
      </c>
      <c r="O18" s="134"/>
      <c r="P18" s="133" t="str">
        <f>IF(N18="Х","Х",IF(O18&lt;3," ",IF($AC18&lt;6," ","Х")))</f>
        <v> </v>
      </c>
      <c r="Q18" s="134"/>
      <c r="R18" s="133" t="str">
        <f>IF(P18="Х","Х",IF(Q18&lt;3," ",IF($AC18&lt;6," ","Х")))</f>
        <v> </v>
      </c>
      <c r="S18" s="134"/>
      <c r="T18" s="133" t="str">
        <f>IF(R18="Х","Х",IF(S18&lt;3," ",IF($AC18&lt;6," ","Х")))</f>
        <v> </v>
      </c>
      <c r="U18" s="135"/>
      <c r="V18" s="133" t="str">
        <f>IF(T18="Х","Х",IF(U18&lt;3," ",IF($AC18&lt;6," ","Х")))</f>
        <v> </v>
      </c>
      <c r="W18" s="135"/>
      <c r="X18" s="133" t="str">
        <f>IF(V18="А1",$AZ$7,IF(V18="Б2",$AZ$6,IF(V18="Б1",$BA$7,IF(V18="А2",$BA$6,IF(V18="Х","Х",IF(V18&lt;6," "," "))))))</f>
        <v> </v>
      </c>
      <c r="Y18" s="136"/>
      <c r="Z18" s="133" t="str">
        <f>IF(V18="Х","Х",IF(ISBLANK(Y18),"",IF(Y18&gt;2.5," ",IF(B18=BB$6,BB$7,BB$6))))</f>
        <v/>
      </c>
      <c r="AA18" s="136"/>
      <c r="AB18" s="137" t="str">
        <f>IF(H18="Х",F$5,IF(J18="Х",H$5,IF(L18="Х",J$5,IF(N18="Х",L$5,IF(P18="Х",N$5,IF(R18="Х",P$5,IF(T18="Х",R$5,IF(X18="Х",T$5,""))))))))</f>
        <v/>
      </c>
      <c r="AC18" s="138">
        <f>SUM(G18+I18+K18+M18+O18+Q18+S18+U18+Y18+AA18)</f>
        <v>0</v>
      </c>
      <c r="AD18" s="139" t="str">
        <f>AF18</f>
        <v>1-24</v>
      </c>
      <c r="AE18" s="140" t="str">
        <f>AD18</f>
        <v>1-24</v>
      </c>
      <c r="AF18" s="141" t="str">
        <f>COUNTIF(AG$6:AG$148,"&gt;"&amp;AG$6:AG$148)+1&amp;REPT("-"&amp;COUNTIF(AG$6:AG$148,"&gt;="&amp;AG$6:AG$148),COUNTIF(AG$6:AG$148,AG18)&gt;1)</f>
        <v>1-24</v>
      </c>
      <c r="AG18" s="142">
        <f>(AR18*100)+(AP18*10)-AC18</f>
        <v>1280</v>
      </c>
      <c r="AH18" s="143" t="str">
        <f>IF(OR(F18="Х",F18="св")," ",IF(AND(G18&gt;=0,G18&lt;3),"1"," "))</f>
        <v>1</v>
      </c>
      <c r="AI18" s="90" t="str">
        <f>IF(OR(H18="Х",H18="св")," ",IF(AND(I18&gt;=0,I18&lt;3),"1"," "))</f>
        <v>1</v>
      </c>
      <c r="AJ18" s="90" t="str">
        <f>IF(OR(J18="Х",J18="св")," ",IF(AND(K18&gt;=0,K18&lt;3),"1"," "))</f>
        <v>1</v>
      </c>
      <c r="AK18" s="90" t="str">
        <f>IF(OR(L18="Х",L18="св")," ",IF(AND(M18&gt;=0,M18&lt;3),"1"," "))</f>
        <v>1</v>
      </c>
      <c r="AL18" s="90" t="str">
        <f>IF(OR(N18="Х",N18="св")," ",IF(AND(O18&gt;=0,O18&lt;3),"1"," "))</f>
        <v>1</v>
      </c>
      <c r="AM18" s="90" t="str">
        <f>IF(OR(P18="Х",P18="св")," ",IF(AND(Q18&gt;=0,Q18&lt;3),"1"," "))</f>
        <v>1</v>
      </c>
      <c r="AN18" s="90" t="str">
        <f>IF(OR(R18="Х",R18="св")," ",IF(AND(S18&gt;=0,S18&lt;3),"1"," "))</f>
        <v>1</v>
      </c>
      <c r="AO18" s="90" t="str">
        <f>IF(OR(T18="Х",T18="св")," ",IF(AND(U18&gt;=0,U18&lt;3),"1"," "))</f>
        <v>1</v>
      </c>
      <c r="AP18" s="90">
        <f>COUNTIF(AH18:AO19,1)</f>
        <v>8</v>
      </c>
      <c r="AQ18" s="90">
        <f>AG18-AC18</f>
        <v>1280</v>
      </c>
      <c r="AR18" s="144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0" t="str">
        <f>COUNTIF(AG$6:AG$134,"&gt;"&amp;AG$6:AG$134)+1&amp;REPT("-"&amp;COUNTIF(AG$6:AG$134,"&gt;="&amp;AG$6:AG$134),COUNTIF(AG$6:AG$134,AG18)&gt;1)</f>
        <v>1-24</v>
      </c>
      <c r="AT18" s="143" t="str">
        <f t="shared" ref="AT18:AW18" si="10">COUNTIF(AU$6:AU$134,"&gt;"&amp;AU$6:AU$134)+1&amp;REPT("-"&amp;COUNTIF(AU$6:AU$134,"&gt;="&amp;AU$6:AU$134),COUNTIF(AU$6:AU$134,AU18)&gt;1)</f>
        <v>1-64</v>
      </c>
      <c r="AU18" s="143" t="str">
        <f t="shared" si="10"/>
        <v>1-0</v>
      </c>
      <c r="AV18" s="143" t="str">
        <f t="shared" si="10"/>
        <v>1</v>
      </c>
      <c r="AW18" s="143" t="str">
        <f t="shared" si="10"/>
        <v>58</v>
      </c>
      <c r="AX18" s="145">
        <f>IF(X18="Х","Х",IF(Y18&lt;3,B18,"Х"))</f>
        <v>7</v>
      </c>
      <c r="AY18" s="222">
        <v>8.0</v>
      </c>
      <c r="AZ18" s="152"/>
      <c r="BA18" s="222">
        <v>8.0</v>
      </c>
      <c r="BB18" s="223"/>
      <c r="BC18" s="222">
        <v>8.0</v>
      </c>
      <c r="BD18" s="225">
        <v>8.0</v>
      </c>
      <c r="BE18" s="222">
        <v>8.0</v>
      </c>
      <c r="BF18" s="225">
        <v>8.0</v>
      </c>
      <c r="BG18" s="222">
        <v>8.0</v>
      </c>
      <c r="BH18" s="222">
        <v>8.0</v>
      </c>
      <c r="BI18" s="229"/>
      <c r="BJ18" s="230"/>
      <c r="BK18" s="231"/>
      <c r="BL18" s="232"/>
      <c r="BM18" s="195">
        <v>7.0</v>
      </c>
      <c r="BN18" s="196">
        <v>8.0</v>
      </c>
      <c r="BO18" s="153">
        <f>IF(BM18&lt;BN18,BM18,"")</f>
        <v>7</v>
      </c>
      <c r="BP18" s="196">
        <v>7.0</v>
      </c>
      <c r="BQ18" s="197">
        <f>IFERROR(__xludf.DUMMYFUNCTION("""COMPUTED_VALUE"""),13.0)</f>
        <v>13</v>
      </c>
      <c r="BR18" s="198">
        <v>7.0</v>
      </c>
      <c r="BS18" s="196">
        <v>5.0</v>
      </c>
      <c r="BT18" s="175" t="str">
        <f>IF(BR18&lt;BS18,BR18,"")</f>
        <v/>
      </c>
      <c r="BU18" s="196" t="s">
        <v>195</v>
      </c>
      <c r="BV18" s="196">
        <f>IFERROR(__xludf.DUMMYFUNCTION("""COMPUTED_VALUE"""),13.0)</f>
        <v>13</v>
      </c>
      <c r="BW18" s="199">
        <v>7.0</v>
      </c>
      <c r="BX18" s="74" t="s">
        <v>194</v>
      </c>
      <c r="BY18" s="160">
        <f t="array" ref="BY18">IF(BW18&lt;BX18,BW18,"")</f>
        <v>7</v>
      </c>
      <c r="BZ18" s="160">
        <f t="shared" si="3"/>
        <v>7</v>
      </c>
      <c r="CA18" s="74">
        <f>IFERROR(__xludf.DUMMYFUNCTION("""COMPUTED_VALUE"""),13.0)</f>
        <v>13</v>
      </c>
      <c r="CB18" s="74">
        <f t="shared" si="4"/>
        <v>13</v>
      </c>
      <c r="CC18" s="74"/>
      <c r="CD18" s="179"/>
      <c r="CE18" s="200">
        <v>7.0</v>
      </c>
      <c r="CF18" s="25" t="s">
        <v>194</v>
      </c>
      <c r="CG18" s="153">
        <f t="array" ref="CG18">IF(CE18&lt;CF18,CE18,"")</f>
        <v>7</v>
      </c>
      <c r="CH18" s="74">
        <v>7.0</v>
      </c>
      <c r="CI18" s="182">
        <f>IFERROR(__xludf.DUMMYFUNCTION("""COMPUTED_VALUE"""),13.0)</f>
        <v>13</v>
      </c>
      <c r="CJ18" s="93">
        <v>7.0</v>
      </c>
      <c r="CK18" s="233" t="s">
        <v>194</v>
      </c>
      <c r="CL18" s="153">
        <f t="array" ref="CL18">IF(CJ18&lt;CK18,CJ18,"")</f>
        <v>7</v>
      </c>
      <c r="CM18" s="49">
        <v>7.0</v>
      </c>
      <c r="CN18" s="49">
        <f>IFERROR(__xludf.DUMMYFUNCTION("""COMPUTED_VALUE"""),13.0)</f>
        <v>13</v>
      </c>
      <c r="CO18" s="74">
        <v>7.0</v>
      </c>
      <c r="CP18" s="200" t="s">
        <v>194</v>
      </c>
      <c r="CQ18" s="153">
        <f t="array" ref="CQ18">IF(CO18&lt;CP18,CO18,"")</f>
        <v>7</v>
      </c>
      <c r="CR18" s="93">
        <v>7.0</v>
      </c>
      <c r="CS18" s="234">
        <f>IFERROR(__xludf.DUMMYFUNCTION("""COMPUTED_VALUE"""),13.0)</f>
        <v>13</v>
      </c>
      <c r="CT18" s="200">
        <v>7.0</v>
      </c>
      <c r="CU18" s="74" t="s">
        <v>194</v>
      </c>
      <c r="CV18" s="153">
        <f t="array" ref="CV18">IF(CT18&lt;CU18,CT18,"")</f>
        <v>7</v>
      </c>
      <c r="CW18" s="49">
        <v>7.0</v>
      </c>
      <c r="CX18" s="49">
        <f>IFERROR(__xludf.DUMMYFUNCTION("""COMPUTED_VALUE"""),13.0)</f>
        <v>13</v>
      </c>
      <c r="CY18" s="200">
        <v>7.0</v>
      </c>
      <c r="CZ18" s="74" t="s">
        <v>194</v>
      </c>
      <c r="DA18" s="153">
        <f t="array" ref="DA18">IF(CY18&lt;CZ18,CY18,"")</f>
        <v>7</v>
      </c>
      <c r="DB18" s="49">
        <v>7.0</v>
      </c>
      <c r="DC18" s="49">
        <f>IFERROR(__xludf.DUMMYFUNCTION("""COMPUTED_VALUE"""),13.0)</f>
        <v>13</v>
      </c>
      <c r="DD18" s="49">
        <v>7.0</v>
      </c>
      <c r="DE18" s="49"/>
      <c r="DF18" s="49"/>
      <c r="DG18" s="49"/>
      <c r="DH18" s="49"/>
    </row>
    <row r="19" ht="13.5" customHeight="1">
      <c r="A19" s="208"/>
      <c r="B19" s="165"/>
      <c r="C19" s="165"/>
      <c r="D19" s="165"/>
      <c r="E19" s="165"/>
      <c r="F19" s="166"/>
      <c r="G19" s="167"/>
      <c r="H19" s="168"/>
      <c r="I19" s="167"/>
      <c r="J19" s="168"/>
      <c r="K19" s="167"/>
      <c r="L19" s="168"/>
      <c r="M19" s="167"/>
      <c r="N19" s="168"/>
      <c r="O19" s="167"/>
      <c r="P19" s="168"/>
      <c r="Q19" s="167"/>
      <c r="R19" s="168"/>
      <c r="S19" s="167"/>
      <c r="T19" s="168"/>
      <c r="U19" s="169"/>
      <c r="V19" s="168"/>
      <c r="W19" s="169"/>
      <c r="X19" s="168"/>
      <c r="Y19" s="167"/>
      <c r="Z19" s="168"/>
      <c r="AA19" s="167"/>
      <c r="AB19" s="166"/>
      <c r="AC19" s="165"/>
      <c r="AD19" s="168"/>
      <c r="AE19" s="170"/>
      <c r="AF19" s="171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Y19" s="227">
        <v>9.0</v>
      </c>
      <c r="AZ19" s="152"/>
      <c r="BA19" s="228">
        <v>9.0</v>
      </c>
      <c r="BB19" s="223"/>
      <c r="BC19" s="227">
        <v>9.0</v>
      </c>
      <c r="BD19" s="225">
        <v>9.0</v>
      </c>
      <c r="BE19" s="227">
        <v>9.0</v>
      </c>
      <c r="BF19" s="225">
        <v>9.0</v>
      </c>
      <c r="BG19" s="227">
        <v>9.0</v>
      </c>
      <c r="BH19" s="227">
        <v>9.0</v>
      </c>
      <c r="BI19" s="229"/>
      <c r="BJ19" s="230"/>
      <c r="BK19" s="231"/>
      <c r="BL19" s="232"/>
      <c r="BM19" s="178"/>
      <c r="BO19" s="175">
        <f>IF(BO18="","",BN18)</f>
        <v>8</v>
      </c>
      <c r="BP19" s="175">
        <v>8.0</v>
      </c>
      <c r="BQ19" s="197">
        <f>IFERROR(__xludf.DUMMYFUNCTION("""COMPUTED_VALUE"""),14.0)</f>
        <v>14</v>
      </c>
      <c r="BT19" s="175" t="str">
        <f>IF(BT18="","",BS18)</f>
        <v/>
      </c>
      <c r="BU19" s="175" t="s">
        <v>195</v>
      </c>
      <c r="BV19" s="196">
        <f>IFERROR(__xludf.DUMMYFUNCTION("""COMPUTED_VALUE"""),15.0)</f>
        <v>15</v>
      </c>
      <c r="BW19" s="178"/>
      <c r="BY19" s="160" t="str">
        <f>IF(BY18="","",BX18)</f>
        <v> </v>
      </c>
      <c r="BZ19" s="160" t="str">
        <f t="shared" si="3"/>
        <v> </v>
      </c>
      <c r="CA19" s="74">
        <f>IFERROR(__xludf.DUMMYFUNCTION("""COMPUTED_VALUE"""),14.0)</f>
        <v>14</v>
      </c>
      <c r="CB19" s="74">
        <f t="shared" si="4"/>
        <v>14</v>
      </c>
      <c r="CC19" s="74"/>
      <c r="CD19" s="179"/>
      <c r="CG19" s="180" t="str">
        <f>IF(CG18="","",CF18)</f>
        <v> </v>
      </c>
      <c r="CH19" s="200" t="s">
        <v>194</v>
      </c>
      <c r="CI19" s="182">
        <f>IFERROR(__xludf.DUMMYFUNCTION("""COMPUTED_VALUE"""),14.0)</f>
        <v>14</v>
      </c>
      <c r="CJ19" s="49" t="s">
        <v>195</v>
      </c>
      <c r="CK19" s="235"/>
      <c r="CL19" s="180" t="str">
        <f>IF(CL18="","",CK18)</f>
        <v> </v>
      </c>
      <c r="CM19" s="49" t="s">
        <v>194</v>
      </c>
      <c r="CN19" s="49">
        <f>IFERROR(__xludf.DUMMYFUNCTION("""COMPUTED_VALUE"""),14.0)</f>
        <v>14</v>
      </c>
      <c r="CQ19" s="180" t="str">
        <f>IF(CQ18="","",CP18)</f>
        <v> </v>
      </c>
      <c r="CR19" s="49" t="s">
        <v>194</v>
      </c>
      <c r="CS19" s="234">
        <f>IFERROR(__xludf.DUMMYFUNCTION("""COMPUTED_VALUE"""),14.0)</f>
        <v>14</v>
      </c>
      <c r="CV19" s="180" t="str">
        <f>IF(CV18="","",CU18)</f>
        <v> </v>
      </c>
      <c r="CW19" s="49" t="s">
        <v>194</v>
      </c>
      <c r="CX19" s="49">
        <f>IFERROR(__xludf.DUMMYFUNCTION("""COMPUTED_VALUE"""),14.0)</f>
        <v>14</v>
      </c>
      <c r="DA19" s="180" t="str">
        <f>IF(DA18="","",CZ18)</f>
        <v> </v>
      </c>
      <c r="DB19" s="49" t="s">
        <v>194</v>
      </c>
      <c r="DC19" s="49">
        <f>IFERROR(__xludf.DUMMYFUNCTION("""COMPUTED_VALUE"""),14.0)</f>
        <v>14</v>
      </c>
      <c r="DD19" s="49" t="s">
        <v>195</v>
      </c>
      <c r="DE19" s="49"/>
      <c r="DF19" s="49"/>
      <c r="DG19" s="49"/>
      <c r="DH19" s="49"/>
    </row>
    <row r="20" ht="13.5" customHeight="1">
      <c r="A20" s="208"/>
      <c r="B20" s="187">
        <v>8.0</v>
      </c>
      <c r="C20" s="188" t="str">
        <f>(VLOOKUP($B20,'Пр.взв'!$D$6:$J$63,2,0))</f>
        <v>МИСИКОВА Элина</v>
      </c>
      <c r="D20" s="189" t="str">
        <f>(VLOOKUP($B20,'Пр.взв'!$D$6:$J$63,5,0))</f>
        <v>1р</v>
      </c>
      <c r="E20" s="190" t="str">
        <f>(VLOOKUP($B20,'Пр.взв'!$D$6:$M$63,8,0))</f>
        <v>Ставропольский</v>
      </c>
      <c r="F20" s="130">
        <v>7.0</v>
      </c>
      <c r="G20" s="131"/>
      <c r="H20" s="132">
        <v>6.0</v>
      </c>
      <c r="I20" s="131"/>
      <c r="J20" s="133" t="str">
        <f>IF(H20="Х","Х",IF($AC20&lt;6," ","Х"))</f>
        <v> </v>
      </c>
      <c r="K20" s="134"/>
      <c r="L20" s="133" t="str">
        <f>IF(J20="Х","Х",IF(K20&lt;3," ",IF($AC20&lt;6," ","Х")))</f>
        <v> </v>
      </c>
      <c r="M20" s="134"/>
      <c r="N20" s="133" t="str">
        <f>IF(L20="Х","Х",IF(M20&lt;3," ",IF($AC20&lt;6," ","Х")))</f>
        <v> </v>
      </c>
      <c r="O20" s="134"/>
      <c r="P20" s="133" t="str">
        <f>IF(N20="Х","Х",IF(O20&lt;3," ",IF($AC20&lt;6," ","Х")))</f>
        <v> </v>
      </c>
      <c r="Q20" s="134"/>
      <c r="R20" s="133" t="str">
        <f>IF(P20="Х","Х",IF(Q20&lt;3," ",IF($AC20&lt;6," ","Х")))</f>
        <v> </v>
      </c>
      <c r="S20" s="134"/>
      <c r="T20" s="133" t="str">
        <f>IF(R20="Х","Х",IF(S20&lt;3," ",IF($AC20&lt;6," ","Х")))</f>
        <v> </v>
      </c>
      <c r="U20" s="135"/>
      <c r="V20" s="133" t="str">
        <f>IF(T20="Х","Х",IF(U20&lt;3," ",IF($AC20&lt;6," ","Х")))</f>
        <v> </v>
      </c>
      <c r="W20" s="135"/>
      <c r="X20" s="133" t="str">
        <f>IF(V20="А1",$AZ$7,IF(V20="Б2",$AZ$6,IF(V20="Б1",$BA$7,IF(V20="А2",$BA$6,IF(V20="Х","Х",IF(V20&lt;6," "," "))))))</f>
        <v> </v>
      </c>
      <c r="Y20" s="136"/>
      <c r="Z20" s="133" t="str">
        <f>IF(V20="Х","Х",IF(ISBLANK(Y20),"",IF(Y20&gt;2.5," ",IF(B20=BB$6,BB$7,BB$6))))</f>
        <v/>
      </c>
      <c r="AA20" s="136"/>
      <c r="AB20" s="137" t="str">
        <f>IF(H20="Х",F$5,IF(J20="Х",H$5,IF(L20="Х",J$5,IF(N20="Х",L$5,IF(P20="Х",N$5,IF(R20="Х",P$5,IF(T20="Х",R$5,IF(X20="Х",T$5,""))))))))</f>
        <v/>
      </c>
      <c r="AC20" s="138">
        <f>SUM(G20+I20+K20+M20+O20+Q20+S20+U20+Y20+AA20)</f>
        <v>0</v>
      </c>
      <c r="AD20" s="139" t="str">
        <f>AF20</f>
        <v>1-24</v>
      </c>
      <c r="AE20" s="140" t="str">
        <f>AD20</f>
        <v>1-24</v>
      </c>
      <c r="AF20" s="141" t="str">
        <f>COUNTIF(AG$6:AG$148,"&gt;"&amp;AG$6:AG$148)+1&amp;REPT("-"&amp;COUNTIF(AG$6:AG$148,"&gt;="&amp;AG$6:AG$148),COUNTIF(AG$6:AG$148,AG20)&gt;1)</f>
        <v>1-24</v>
      </c>
      <c r="AG20" s="142">
        <f>(AR20*100)+(AP20*10)-AC20</f>
        <v>1280</v>
      </c>
      <c r="AH20" s="143" t="str">
        <f>IF(OR(F20="Х",F20="св")," ",IF(AND(G20&gt;=0,G20&lt;3),"1"," "))</f>
        <v>1</v>
      </c>
      <c r="AI20" s="90" t="str">
        <f>IF(OR(H20="Х",H20="св")," ",IF(AND(I20&gt;=0,I20&lt;3),"1"," "))</f>
        <v>1</v>
      </c>
      <c r="AJ20" s="90" t="str">
        <f>IF(OR(J20="Х",J20="св")," ",IF(AND(K20&gt;=0,K20&lt;3),"1"," "))</f>
        <v>1</v>
      </c>
      <c r="AK20" s="90" t="str">
        <f>IF(OR(L20="Х",L20="св")," ",IF(AND(M20&gt;=0,M20&lt;3),"1"," "))</f>
        <v>1</v>
      </c>
      <c r="AL20" s="90" t="str">
        <f>IF(OR(N20="Х",N20="св")," ",IF(AND(O20&gt;=0,O20&lt;3),"1"," "))</f>
        <v>1</v>
      </c>
      <c r="AM20" s="90" t="str">
        <f>IF(OR(P20="Х",P20="св")," ",IF(AND(Q20&gt;=0,Q20&lt;3),"1"," "))</f>
        <v>1</v>
      </c>
      <c r="AN20" s="90" t="str">
        <f>IF(OR(R20="Х",R20="св")," ",IF(AND(S20&gt;=0,S20&lt;3),"1"," "))</f>
        <v>1</v>
      </c>
      <c r="AO20" s="90" t="str">
        <f>IF(OR(T20="Х",T20="св")," ",IF(AND(U20&gt;=0,U20&lt;3),"1"," "))</f>
        <v>1</v>
      </c>
      <c r="AP20" s="90">
        <f>COUNTIF(AH20:AO21,1)</f>
        <v>8</v>
      </c>
      <c r="AQ20" s="90">
        <f>AG20-AC20</f>
        <v>1280</v>
      </c>
      <c r="AR20" s="144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0" t="str">
        <f>COUNTIF(AG$6:AG$134,"&gt;"&amp;AG$6:AG$134)+1&amp;REPT("-"&amp;COUNTIF(AG$6:AG$134,"&gt;="&amp;AG$6:AG$134),COUNTIF(AG$6:AG$134,AG20)&gt;1)</f>
        <v>1-24</v>
      </c>
      <c r="AT20" s="143" t="str">
        <f t="shared" ref="AT20:AW20" si="11">COUNTIF(AU$6:AU$134,"&gt;"&amp;AU$6:AU$134)+1&amp;REPT("-"&amp;COUNTIF(AU$6:AU$134,"&gt;="&amp;AU$6:AU$134),COUNTIF(AU$6:AU$134,AU20)&gt;1)</f>
        <v>1-64</v>
      </c>
      <c r="AU20" s="143" t="str">
        <f t="shared" si="11"/>
        <v>1-0</v>
      </c>
      <c r="AV20" s="143" t="str">
        <f t="shared" si="11"/>
        <v>1</v>
      </c>
      <c r="AW20" s="143" t="str">
        <f t="shared" si="11"/>
        <v>57</v>
      </c>
      <c r="AX20" s="145">
        <f>IF(X20="Х","Х",IF(Y20&lt;3,B20,"Х"))</f>
        <v>8</v>
      </c>
      <c r="AY20" s="222">
        <v>10.0</v>
      </c>
      <c r="AZ20" s="152"/>
      <c r="BA20" s="222">
        <v>10.0</v>
      </c>
      <c r="BB20" s="223"/>
      <c r="BC20" s="222">
        <v>10.0</v>
      </c>
      <c r="BD20" s="225">
        <v>10.0</v>
      </c>
      <c r="BE20" s="222">
        <v>10.0</v>
      </c>
      <c r="BF20" s="224">
        <v>11.0</v>
      </c>
      <c r="BG20" s="222">
        <v>10.0</v>
      </c>
      <c r="BH20" s="222">
        <v>10.0</v>
      </c>
      <c r="BI20" s="229"/>
      <c r="BJ20" s="230"/>
      <c r="BK20" s="236"/>
      <c r="BL20" s="237"/>
      <c r="BM20" s="195">
        <v>8.0</v>
      </c>
      <c r="BN20" s="196">
        <v>7.0</v>
      </c>
      <c r="BO20" s="153" t="str">
        <f>IF(BM20&lt;BN20,BM20,"")</f>
        <v/>
      </c>
      <c r="BP20" s="196" t="s">
        <v>195</v>
      </c>
      <c r="BQ20" s="197">
        <f>IFERROR(__xludf.DUMMYFUNCTION("""COMPUTED_VALUE"""),15.0)</f>
        <v>15</v>
      </c>
      <c r="BR20" s="198">
        <v>8.0</v>
      </c>
      <c r="BS20" s="196">
        <v>6.0</v>
      </c>
      <c r="BT20" s="175" t="str">
        <f>IF(BR20&lt;BS20,BR20,"")</f>
        <v/>
      </c>
      <c r="BU20" s="196" t="s">
        <v>195</v>
      </c>
      <c r="BV20" s="196">
        <f>IFERROR(__xludf.DUMMYFUNCTION("""COMPUTED_VALUE"""),14.0)</f>
        <v>14</v>
      </c>
      <c r="BW20" s="199">
        <v>8.0</v>
      </c>
      <c r="BX20" s="74" t="s">
        <v>194</v>
      </c>
      <c r="BY20" s="160">
        <f t="array" ref="BY20">IF(BW20&lt;BX20,BW20,"")</f>
        <v>8</v>
      </c>
      <c r="BZ20" s="160">
        <f t="shared" si="3"/>
        <v>8</v>
      </c>
      <c r="CA20" s="74">
        <f>IFERROR(__xludf.DUMMYFUNCTION("""COMPUTED_VALUE"""),15.0)</f>
        <v>15</v>
      </c>
      <c r="CB20" s="74">
        <f t="shared" si="4"/>
        <v>15</v>
      </c>
      <c r="CC20" s="74"/>
      <c r="CD20" s="179"/>
      <c r="CE20" s="200">
        <v>8.0</v>
      </c>
      <c r="CF20" s="25" t="s">
        <v>194</v>
      </c>
      <c r="CG20" s="153">
        <f t="array" ref="CG20">IF(CE20&lt;CF20,CE20,"")</f>
        <v>8</v>
      </c>
      <c r="CH20" s="74">
        <v>8.0</v>
      </c>
      <c r="CI20" s="182">
        <f>IFERROR(__xludf.DUMMYFUNCTION("""COMPUTED_VALUE"""),15.0)</f>
        <v>15</v>
      </c>
      <c r="CJ20" s="93">
        <v>8.0</v>
      </c>
      <c r="CK20" s="233" t="s">
        <v>194</v>
      </c>
      <c r="CL20" s="153">
        <f t="array" ref="CL20">IF(CJ20&lt;CK20,CJ20,"")</f>
        <v>8</v>
      </c>
      <c r="CM20" s="49">
        <v>8.0</v>
      </c>
      <c r="CN20" s="49">
        <f>IFERROR(__xludf.DUMMYFUNCTION("""COMPUTED_VALUE"""),15.0)</f>
        <v>15</v>
      </c>
      <c r="CO20" s="74">
        <v>8.0</v>
      </c>
      <c r="CP20" s="200" t="s">
        <v>194</v>
      </c>
      <c r="CQ20" s="153">
        <f t="array" ref="CQ20">IF(CO20&lt;CP20,CO20,"")</f>
        <v>8</v>
      </c>
      <c r="CR20" s="93">
        <v>8.0</v>
      </c>
      <c r="CS20" s="234">
        <f>IFERROR(__xludf.DUMMYFUNCTION("""COMPUTED_VALUE"""),15.0)</f>
        <v>15</v>
      </c>
      <c r="CT20" s="200">
        <v>8.0</v>
      </c>
      <c r="CU20" s="74" t="s">
        <v>194</v>
      </c>
      <c r="CV20" s="153">
        <f t="array" ref="CV20">IF(CT20&lt;CU20,CT20,"")</f>
        <v>8</v>
      </c>
      <c r="CW20" s="49">
        <v>8.0</v>
      </c>
      <c r="CX20" s="49">
        <f>IFERROR(__xludf.DUMMYFUNCTION("""COMPUTED_VALUE"""),15.0)</f>
        <v>15</v>
      </c>
      <c r="CY20" s="200">
        <v>8.0</v>
      </c>
      <c r="CZ20" s="74" t="s">
        <v>194</v>
      </c>
      <c r="DA20" s="153">
        <f t="array" ref="DA20">IF(CY20&lt;CZ20,CY20,"")</f>
        <v>8</v>
      </c>
      <c r="DB20" s="49">
        <v>8.0</v>
      </c>
      <c r="DC20" s="49">
        <f>IFERROR(__xludf.DUMMYFUNCTION("""COMPUTED_VALUE"""),15.0)</f>
        <v>15</v>
      </c>
      <c r="DD20" s="49">
        <v>8.0</v>
      </c>
      <c r="DE20" s="49"/>
      <c r="DF20" s="49"/>
      <c r="DG20" s="49"/>
      <c r="DH20" s="49"/>
    </row>
    <row r="21" ht="13.5" customHeight="1">
      <c r="A21" s="208"/>
      <c r="B21" s="165"/>
      <c r="C21" s="165"/>
      <c r="D21" s="165"/>
      <c r="E21" s="165"/>
      <c r="F21" s="166"/>
      <c r="G21" s="167"/>
      <c r="H21" s="168"/>
      <c r="I21" s="167"/>
      <c r="J21" s="168"/>
      <c r="K21" s="167"/>
      <c r="L21" s="168"/>
      <c r="M21" s="167"/>
      <c r="N21" s="168"/>
      <c r="O21" s="167"/>
      <c r="P21" s="168"/>
      <c r="Q21" s="167"/>
      <c r="R21" s="168"/>
      <c r="S21" s="167"/>
      <c r="T21" s="168"/>
      <c r="U21" s="169"/>
      <c r="V21" s="168"/>
      <c r="W21" s="169"/>
      <c r="X21" s="168"/>
      <c r="Y21" s="167"/>
      <c r="Z21" s="168"/>
      <c r="AA21" s="167"/>
      <c r="AB21" s="166"/>
      <c r="AC21" s="165"/>
      <c r="AD21" s="168"/>
      <c r="AE21" s="170"/>
      <c r="AF21" s="171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Y21" s="227">
        <v>11.0</v>
      </c>
      <c r="AZ21" s="152"/>
      <c r="BA21" s="228">
        <v>11.0</v>
      </c>
      <c r="BB21" s="238"/>
      <c r="BC21" s="227">
        <v>11.0</v>
      </c>
      <c r="BD21" s="225">
        <v>11.0</v>
      </c>
      <c r="BE21" s="227">
        <v>11.0</v>
      </c>
      <c r="BF21" s="224">
        <v>10.0</v>
      </c>
      <c r="BG21" s="227">
        <v>11.0</v>
      </c>
      <c r="BH21" s="227">
        <v>11.0</v>
      </c>
      <c r="BI21" s="229"/>
      <c r="BJ21" s="230"/>
      <c r="BK21" s="236"/>
      <c r="BL21" s="237"/>
      <c r="BM21" s="178"/>
      <c r="BO21" s="175" t="str">
        <f>IF(BO20="","",BN20)</f>
        <v/>
      </c>
      <c r="BP21" s="175" t="s">
        <v>195</v>
      </c>
      <c r="BQ21" s="197">
        <f>IFERROR(__xludf.DUMMYFUNCTION("""COMPUTED_VALUE"""),16.0)</f>
        <v>16</v>
      </c>
      <c r="BT21" s="175" t="str">
        <f>IF(BT20="","",BS20)</f>
        <v/>
      </c>
      <c r="BU21" s="175" t="s">
        <v>195</v>
      </c>
      <c r="BV21" s="196">
        <f>IFERROR(__xludf.DUMMYFUNCTION("""COMPUTED_VALUE"""),16.0)</f>
        <v>16</v>
      </c>
      <c r="BW21" s="178"/>
      <c r="BY21" s="160" t="str">
        <f>IF(BY20="","",BX20)</f>
        <v> </v>
      </c>
      <c r="BZ21" s="160" t="str">
        <f t="shared" si="3"/>
        <v> </v>
      </c>
      <c r="CA21" s="74">
        <f>IFERROR(__xludf.DUMMYFUNCTION("""COMPUTED_VALUE"""),16.0)</f>
        <v>16</v>
      </c>
      <c r="CB21" s="74">
        <f t="shared" si="4"/>
        <v>16</v>
      </c>
      <c r="CC21" s="74"/>
      <c r="CD21" s="179"/>
      <c r="CG21" s="180" t="str">
        <f>IF(CG20="","",CF20)</f>
        <v> </v>
      </c>
      <c r="CH21" s="200" t="s">
        <v>194</v>
      </c>
      <c r="CI21" s="182">
        <f>IFERROR(__xludf.DUMMYFUNCTION("""COMPUTED_VALUE"""),16.0)</f>
        <v>16</v>
      </c>
      <c r="CJ21" s="49" t="s">
        <v>195</v>
      </c>
      <c r="CK21" s="235"/>
      <c r="CL21" s="180" t="str">
        <f>IF(CL20="","",CK20)</f>
        <v> </v>
      </c>
      <c r="CM21" s="49" t="s">
        <v>194</v>
      </c>
      <c r="CN21" s="49">
        <f>IFERROR(__xludf.DUMMYFUNCTION("""COMPUTED_VALUE"""),16.0)</f>
        <v>16</v>
      </c>
      <c r="CQ21" s="180" t="str">
        <f>IF(CQ20="","",CP20)</f>
        <v> </v>
      </c>
      <c r="CR21" s="49" t="s">
        <v>194</v>
      </c>
      <c r="CS21" s="234">
        <f>IFERROR(__xludf.DUMMYFUNCTION("""COMPUTED_VALUE"""),16.0)</f>
        <v>16</v>
      </c>
      <c r="CV21" s="180" t="str">
        <f>IF(CV20="","",CU20)</f>
        <v> </v>
      </c>
      <c r="CW21" s="49" t="s">
        <v>194</v>
      </c>
      <c r="CX21" s="49">
        <f>IFERROR(__xludf.DUMMYFUNCTION("""COMPUTED_VALUE"""),16.0)</f>
        <v>16</v>
      </c>
      <c r="DA21" s="180" t="str">
        <f>IF(DA20="","",CZ20)</f>
        <v> </v>
      </c>
      <c r="DB21" s="49" t="s">
        <v>194</v>
      </c>
      <c r="DC21" s="49">
        <f>IFERROR(__xludf.DUMMYFUNCTION("""COMPUTED_VALUE"""),16.0)</f>
        <v>16</v>
      </c>
      <c r="DD21" s="49" t="s">
        <v>195</v>
      </c>
      <c r="DE21" s="49"/>
      <c r="DF21" s="49"/>
      <c r="DG21" s="49"/>
      <c r="DH21" s="49"/>
    </row>
    <row r="22" ht="13.5" customHeight="1">
      <c r="A22" s="208"/>
      <c r="B22" s="187">
        <v>9.0</v>
      </c>
      <c r="C22" s="188" t="str">
        <f>(VLOOKUP($B22,'Пр.взв'!$D$6:$J$63,2,0))</f>
        <v>ПОВАЛИХИНА  Ксения</v>
      </c>
      <c r="D22" s="189" t="str">
        <f>(VLOOKUP($B22,'Пр.взв'!$D$6:$J$63,5,0))</f>
        <v>КМС</v>
      </c>
      <c r="E22" s="190" t="str">
        <f>(VLOOKUP($B22,'Пр.взв'!$D$6:$M$63,8,0))</f>
        <v>Московская</v>
      </c>
      <c r="F22" s="130">
        <v>10.0</v>
      </c>
      <c r="G22" s="131"/>
      <c r="H22" s="132">
        <v>11.0</v>
      </c>
      <c r="I22" s="131"/>
      <c r="J22" s="133" t="str">
        <f>IF(H22="Х","Х",IF($AC22&lt;6," ","Х"))</f>
        <v> </v>
      </c>
      <c r="K22" s="134"/>
      <c r="L22" s="133" t="str">
        <f>IF(J22="Х","Х",IF(K22&lt;3," ",IF($AC22&lt;6," ","Х")))</f>
        <v> </v>
      </c>
      <c r="M22" s="134"/>
      <c r="N22" s="133" t="str">
        <f>IF(L22="Х","Х",IF(M22&lt;3," ",IF($AC22&lt;6," ","Х")))</f>
        <v> </v>
      </c>
      <c r="O22" s="134"/>
      <c r="P22" s="133" t="str">
        <f>IF(N22="Х","Х",IF(O22&lt;3," ",IF($AC22&lt;6," ","Х")))</f>
        <v> </v>
      </c>
      <c r="Q22" s="134"/>
      <c r="R22" s="133" t="str">
        <f>IF(P22="Х","Х",IF(Q22&lt;3," ",IF($AC22&lt;6," ","Х")))</f>
        <v> </v>
      </c>
      <c r="S22" s="134"/>
      <c r="T22" s="133" t="str">
        <f>IF(R22="Х","Х",IF(S22&lt;3," ",IF($AC22&lt;6," ","Х")))</f>
        <v> </v>
      </c>
      <c r="U22" s="135"/>
      <c r="V22" s="133" t="str">
        <f>IF(T22="Х","Х",IF(U22&lt;3," ",IF($AC22&lt;6," ","Х")))</f>
        <v> </v>
      </c>
      <c r="W22" s="135"/>
      <c r="X22" s="133" t="str">
        <f>IF(V22="А1",$AZ$7,IF(V22="Б2",$AZ$6,IF(V22="Б1",$BA$7,IF(V22="А2",$BA$6,IF(V22="Х","Х",IF(V22&lt;6," "," "))))))</f>
        <v> </v>
      </c>
      <c r="Y22" s="136"/>
      <c r="Z22" s="133" t="str">
        <f>IF(V22="Х","Х",IF(ISBLANK(Y22),"",IF(Y22&gt;2.5," ",IF(B22=BB$6,BB$7,BB$6))))</f>
        <v/>
      </c>
      <c r="AA22" s="136"/>
      <c r="AB22" s="137" t="str">
        <f>IF(H22="Х",F$5,IF(J22="Х",H$5,IF(L22="Х",J$5,IF(N22="Х",L$5,IF(P22="Х",N$5,IF(R22="Х",P$5,IF(T22="Х",R$5,IF(X22="Х",T$5,""))))))))</f>
        <v/>
      </c>
      <c r="AC22" s="138">
        <f>SUM(G22+I22+K22+M22+O22+Q22+S22+U22+Y22+AA22)</f>
        <v>0</v>
      </c>
      <c r="AD22" s="139" t="str">
        <f>AF22</f>
        <v>1-24</v>
      </c>
      <c r="AE22" s="140" t="str">
        <f>AD22</f>
        <v>1-24</v>
      </c>
      <c r="AF22" s="141" t="str">
        <f>COUNTIF(AG$6:AG$148,"&gt;"&amp;AG$6:AG$148)+1&amp;REPT("-"&amp;COUNTIF(AG$6:AG$148,"&gt;="&amp;AG$6:AG$148),COUNTIF(AG$6:AG$148,AG22)&gt;1)</f>
        <v>1-24</v>
      </c>
      <c r="AG22" s="142">
        <f>(AR22*100)+(AP22*10)-AC22</f>
        <v>1280</v>
      </c>
      <c r="AH22" s="143" t="str">
        <f>IF(OR(F22="Х",F22="св")," ",IF(AND(G22&gt;=0,G22&lt;3),"1"," "))</f>
        <v>1</v>
      </c>
      <c r="AI22" s="90" t="str">
        <f>IF(OR(H22="Х",H22="св")," ",IF(AND(I22&gt;=0,I22&lt;3),"1"," "))</f>
        <v>1</v>
      </c>
      <c r="AJ22" s="90" t="str">
        <f>IF(OR(J22="Х",J22="св")," ",IF(AND(K22&gt;=0,K22&lt;3),"1"," "))</f>
        <v>1</v>
      </c>
      <c r="AK22" s="90" t="str">
        <f>IF(OR(L22="Х",L22="св")," ",IF(AND(M22&gt;=0,M22&lt;3),"1"," "))</f>
        <v>1</v>
      </c>
      <c r="AL22" s="90" t="str">
        <f>IF(OR(N22="Х",N22="св")," ",IF(AND(O22&gt;=0,O22&lt;3),"1"," "))</f>
        <v>1</v>
      </c>
      <c r="AM22" s="90" t="str">
        <f>IF(OR(P22="Х",P22="св")," ",IF(AND(Q22&gt;=0,Q22&lt;3),"1"," "))</f>
        <v>1</v>
      </c>
      <c r="AN22" s="90" t="str">
        <f>IF(OR(R22="Х",R22="св")," ",IF(AND(S22&gt;=0,S22&lt;3),"1"," "))</f>
        <v>1</v>
      </c>
      <c r="AO22" s="90" t="str">
        <f>IF(OR(T22="Х",T22="св")," ",IF(AND(U22&gt;=0,U22&lt;3),"1"," "))</f>
        <v>1</v>
      </c>
      <c r="AP22" s="90">
        <f>COUNTIF(AH22:AO23,1)</f>
        <v>8</v>
      </c>
      <c r="AQ22" s="90">
        <f>AG22-AC22</f>
        <v>1280</v>
      </c>
      <c r="AR22" s="144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0" t="str">
        <f>COUNTIF(AG$6:AG$134,"&gt;"&amp;AG$6:AG$134)+1&amp;REPT("-"&amp;COUNTIF(AG$6:AG$134,"&gt;="&amp;AG$6:AG$134),COUNTIF(AG$6:AG$134,AG22)&gt;1)</f>
        <v>1-24</v>
      </c>
      <c r="AT22" s="143" t="str">
        <f t="shared" ref="AT22:AW22" si="12">COUNTIF(AU$6:AU$134,"&gt;"&amp;AU$6:AU$134)+1&amp;REPT("-"&amp;COUNTIF(AU$6:AU$134,"&gt;="&amp;AU$6:AU$134),COUNTIF(AU$6:AU$134,AU22)&gt;1)</f>
        <v>1-64</v>
      </c>
      <c r="AU22" s="143" t="str">
        <f t="shared" si="12"/>
        <v>1-0</v>
      </c>
      <c r="AV22" s="143" t="str">
        <f t="shared" si="12"/>
        <v>1</v>
      </c>
      <c r="AW22" s="143" t="str">
        <f t="shared" si="12"/>
        <v>56</v>
      </c>
      <c r="AX22" s="145">
        <f>IF(X22="Х","Х",IF(Y22&lt;3,B22,"Х"))</f>
        <v>9</v>
      </c>
      <c r="AY22" s="222">
        <v>12.0</v>
      </c>
      <c r="AZ22" s="152"/>
      <c r="BA22" s="222">
        <v>12.0</v>
      </c>
      <c r="BB22" s="239"/>
      <c r="BC22" s="222">
        <v>12.0</v>
      </c>
      <c r="BD22" s="225">
        <v>12.0</v>
      </c>
      <c r="BE22" s="222">
        <v>12.0</v>
      </c>
      <c r="BF22" s="224">
        <v>12.0</v>
      </c>
      <c r="BG22" s="222">
        <v>12.0</v>
      </c>
      <c r="BH22" s="222">
        <v>12.0</v>
      </c>
      <c r="BI22" s="229"/>
      <c r="BJ22" s="230"/>
      <c r="BK22" s="236"/>
      <c r="BL22" s="237"/>
      <c r="BM22" s="195">
        <v>9.0</v>
      </c>
      <c r="BN22" s="196">
        <v>10.0</v>
      </c>
      <c r="BO22" s="153">
        <f>IF(BM22&lt;BN22,BM22,"")</f>
        <v>9</v>
      </c>
      <c r="BP22" s="196">
        <v>9.0</v>
      </c>
      <c r="BQ22" s="197">
        <f>IFERROR(__xludf.DUMMYFUNCTION("""COMPUTED_VALUE"""),17.0)</f>
        <v>17</v>
      </c>
      <c r="BR22" s="198">
        <v>9.0</v>
      </c>
      <c r="BS22" s="196">
        <v>11.0</v>
      </c>
      <c r="BT22" s="175">
        <f>IF(BR22&lt;BS22,BR22,"")</f>
        <v>9</v>
      </c>
      <c r="BU22" s="196">
        <v>9.0</v>
      </c>
      <c r="BV22" s="196">
        <f>IFERROR(__xludf.DUMMYFUNCTION("""COMPUTED_VALUE"""),17.0)</f>
        <v>17</v>
      </c>
      <c r="BW22" s="199">
        <v>9.0</v>
      </c>
      <c r="BX22" s="74" t="s">
        <v>194</v>
      </c>
      <c r="BY22" s="160">
        <f t="array" ref="BY22">IF(BW22&lt;BX22,BW22,"")</f>
        <v>9</v>
      </c>
      <c r="BZ22" s="160">
        <f t="shared" si="3"/>
        <v>9</v>
      </c>
      <c r="CA22" s="74">
        <f>IFERROR(__xludf.DUMMYFUNCTION("""COMPUTED_VALUE"""),17.0)</f>
        <v>17</v>
      </c>
      <c r="CB22" s="74">
        <f t="shared" si="4"/>
        <v>17</v>
      </c>
      <c r="CC22" s="74"/>
      <c r="CD22" s="179"/>
      <c r="CE22" s="200">
        <v>9.0</v>
      </c>
      <c r="CF22" s="25" t="s">
        <v>194</v>
      </c>
      <c r="CG22" s="153">
        <f t="array" ref="CG22">IF(CE22&lt;CF22,CE22,"")</f>
        <v>9</v>
      </c>
      <c r="CH22" s="74">
        <v>9.0</v>
      </c>
      <c r="CI22" s="182">
        <f>IFERROR(__xludf.DUMMYFUNCTION("""COMPUTED_VALUE"""),17.0)</f>
        <v>17</v>
      </c>
      <c r="CJ22" s="93">
        <v>9.0</v>
      </c>
      <c r="CK22" s="233" t="s">
        <v>194</v>
      </c>
      <c r="CL22" s="153">
        <f t="array" ref="CL22">IF(CJ22&lt;CK22,CJ22,"")</f>
        <v>9</v>
      </c>
      <c r="CM22" s="49">
        <v>9.0</v>
      </c>
      <c r="CN22" s="49">
        <f>IFERROR(__xludf.DUMMYFUNCTION("""COMPUTED_VALUE"""),17.0)</f>
        <v>17</v>
      </c>
      <c r="CO22" s="74">
        <v>9.0</v>
      </c>
      <c r="CP22" s="200" t="s">
        <v>194</v>
      </c>
      <c r="CQ22" s="153">
        <f t="array" ref="CQ22">IF(CO22&lt;CP22,CO22,"")</f>
        <v>9</v>
      </c>
      <c r="CR22" s="93">
        <v>9.0</v>
      </c>
      <c r="CS22" s="234">
        <f>IFERROR(__xludf.DUMMYFUNCTION("""COMPUTED_VALUE"""),17.0)</f>
        <v>17</v>
      </c>
      <c r="CT22" s="200">
        <v>9.0</v>
      </c>
      <c r="CU22" s="74" t="s">
        <v>194</v>
      </c>
      <c r="CV22" s="153">
        <f t="array" ref="CV22">IF(CT22&lt;CU22,CT22,"")</f>
        <v>9</v>
      </c>
      <c r="CW22" s="49">
        <v>9.0</v>
      </c>
      <c r="CX22" s="49">
        <f>IFERROR(__xludf.DUMMYFUNCTION("""COMPUTED_VALUE"""),17.0)</f>
        <v>17</v>
      </c>
      <c r="CY22" s="200">
        <v>9.0</v>
      </c>
      <c r="CZ22" s="74" t="s">
        <v>194</v>
      </c>
      <c r="DA22" s="153">
        <f t="array" ref="DA22">IF(CY22&lt;CZ22,CY22,"")</f>
        <v>9</v>
      </c>
      <c r="DB22" s="49">
        <v>9.0</v>
      </c>
      <c r="DC22" s="49">
        <f>IFERROR(__xludf.DUMMYFUNCTION("""COMPUTED_VALUE"""),17.0)</f>
        <v>17</v>
      </c>
      <c r="DD22" s="49">
        <v>9.0</v>
      </c>
      <c r="DE22" s="49"/>
      <c r="DF22" s="49"/>
      <c r="DG22" s="49"/>
      <c r="DH22" s="49"/>
    </row>
    <row r="23" ht="13.5" customHeight="1">
      <c r="A23" s="208"/>
      <c r="B23" s="165"/>
      <c r="C23" s="165"/>
      <c r="D23" s="165"/>
      <c r="E23" s="165"/>
      <c r="F23" s="166"/>
      <c r="G23" s="167"/>
      <c r="H23" s="168"/>
      <c r="I23" s="167"/>
      <c r="J23" s="168"/>
      <c r="K23" s="167"/>
      <c r="L23" s="168"/>
      <c r="M23" s="167"/>
      <c r="N23" s="168"/>
      <c r="O23" s="167"/>
      <c r="P23" s="168"/>
      <c r="Q23" s="167"/>
      <c r="R23" s="168"/>
      <c r="S23" s="167"/>
      <c r="T23" s="168"/>
      <c r="U23" s="169"/>
      <c r="V23" s="168"/>
      <c r="W23" s="169"/>
      <c r="X23" s="168"/>
      <c r="Y23" s="167"/>
      <c r="Z23" s="168"/>
      <c r="AA23" s="167"/>
      <c r="AB23" s="166"/>
      <c r="AC23" s="165"/>
      <c r="AD23" s="168"/>
      <c r="AE23" s="170"/>
      <c r="AF23" s="171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Y23" s="227">
        <v>13.0</v>
      </c>
      <c r="AZ23" s="152"/>
      <c r="BA23" s="228">
        <v>13.0</v>
      </c>
      <c r="BB23" s="239"/>
      <c r="BC23" s="227">
        <v>13.0</v>
      </c>
      <c r="BD23" s="225">
        <v>13.0</v>
      </c>
      <c r="BE23" s="227">
        <v>13.0</v>
      </c>
      <c r="BF23" s="224">
        <v>13.0</v>
      </c>
      <c r="BG23" s="227">
        <v>13.0</v>
      </c>
      <c r="BH23" s="227">
        <v>13.0</v>
      </c>
      <c r="BI23" s="229"/>
      <c r="BJ23" s="230"/>
      <c r="BK23" s="236"/>
      <c r="BL23" s="237"/>
      <c r="BM23" s="178"/>
      <c r="BO23" s="175">
        <f>IF(BO22="","",BN22)</f>
        <v>10</v>
      </c>
      <c r="BP23" s="175">
        <v>10.0</v>
      </c>
      <c r="BQ23" s="197">
        <f>IFERROR(__xludf.DUMMYFUNCTION("""COMPUTED_VALUE"""),18.0)</f>
        <v>18</v>
      </c>
      <c r="BT23" s="175">
        <f>IF(BT22="","",BS22)</f>
        <v>11</v>
      </c>
      <c r="BU23" s="175">
        <v>11.0</v>
      </c>
      <c r="BV23" s="196">
        <f>IFERROR(__xludf.DUMMYFUNCTION("""COMPUTED_VALUE"""),19.0)</f>
        <v>19</v>
      </c>
      <c r="BW23" s="178"/>
      <c r="BY23" s="160" t="str">
        <f>IF(BY22="","",BX22)</f>
        <v> </v>
      </c>
      <c r="BZ23" s="160" t="str">
        <f t="shared" si="3"/>
        <v> </v>
      </c>
      <c r="CA23" s="74">
        <f>IFERROR(__xludf.DUMMYFUNCTION("""COMPUTED_VALUE"""),18.0)</f>
        <v>18</v>
      </c>
      <c r="CB23" s="74">
        <f t="shared" si="4"/>
        <v>18</v>
      </c>
      <c r="CC23" s="74"/>
      <c r="CD23" s="179"/>
      <c r="CG23" s="180" t="str">
        <f>IF(CG22="","",CF22)</f>
        <v> </v>
      </c>
      <c r="CH23" s="200" t="s">
        <v>194</v>
      </c>
      <c r="CI23" s="182">
        <f>IFERROR(__xludf.DUMMYFUNCTION("""COMPUTED_VALUE"""),18.0)</f>
        <v>18</v>
      </c>
      <c r="CJ23" s="49" t="s">
        <v>195</v>
      </c>
      <c r="CK23" s="235"/>
      <c r="CL23" s="180" t="str">
        <f>IF(CL22="","",CK22)</f>
        <v> </v>
      </c>
      <c r="CM23" s="49" t="s">
        <v>194</v>
      </c>
      <c r="CN23" s="49">
        <f>IFERROR(__xludf.DUMMYFUNCTION("""COMPUTED_VALUE"""),18.0)</f>
        <v>18</v>
      </c>
      <c r="CQ23" s="180" t="str">
        <f>IF(CQ22="","",CP22)</f>
        <v> </v>
      </c>
      <c r="CR23" s="49" t="s">
        <v>194</v>
      </c>
      <c r="CS23" s="234">
        <f>IFERROR(__xludf.DUMMYFUNCTION("""COMPUTED_VALUE"""),18.0)</f>
        <v>18</v>
      </c>
      <c r="CV23" s="180" t="str">
        <f>IF(CV22="","",CU22)</f>
        <v> </v>
      </c>
      <c r="CW23" s="49" t="s">
        <v>194</v>
      </c>
      <c r="CX23" s="49">
        <f>IFERROR(__xludf.DUMMYFUNCTION("""COMPUTED_VALUE"""),18.0)</f>
        <v>18</v>
      </c>
      <c r="DA23" s="180" t="str">
        <f>IF(DA22="","",CZ22)</f>
        <v> </v>
      </c>
      <c r="DB23" s="49" t="s">
        <v>194</v>
      </c>
      <c r="DC23" s="49">
        <f>IFERROR(__xludf.DUMMYFUNCTION("""COMPUTED_VALUE"""),18.0)</f>
        <v>18</v>
      </c>
      <c r="DD23" s="49" t="s">
        <v>195</v>
      </c>
      <c r="DE23" s="49"/>
      <c r="DF23" s="49"/>
      <c r="DG23" s="49"/>
      <c r="DH23" s="49"/>
    </row>
    <row r="24" ht="13.5" customHeight="1">
      <c r="A24" s="208"/>
      <c r="B24" s="187">
        <v>10.0</v>
      </c>
      <c r="C24" s="188" t="str">
        <f>(VLOOKUP($B24,'Пр.взв'!$D$6:$J$63,2,0))</f>
        <v>ЧЕРНЕЦОВА Александра</v>
      </c>
      <c r="D24" s="189" t="str">
        <f>(VLOOKUP($B24,'Пр.взв'!$D$6:$J$63,5,0))</f>
        <v>КМС</v>
      </c>
      <c r="E24" s="190" t="str">
        <f>(VLOOKUP($B24,'Пр.взв'!$D$6:$M$63,8,0))</f>
        <v>Алтайский</v>
      </c>
      <c r="F24" s="130">
        <v>9.0</v>
      </c>
      <c r="G24" s="131"/>
      <c r="H24" s="132">
        <v>12.0</v>
      </c>
      <c r="I24" s="131"/>
      <c r="J24" s="133" t="str">
        <f>IF(H24="Х","Х",IF($AC24&lt;6," ","Х"))</f>
        <v> </v>
      </c>
      <c r="K24" s="134"/>
      <c r="L24" s="133" t="str">
        <f>IF(J24="Х","Х",IF(K24&lt;3," ",IF($AC24&lt;6," ","Х")))</f>
        <v> </v>
      </c>
      <c r="M24" s="134"/>
      <c r="N24" s="133" t="str">
        <f>IF(L24="Х","Х",IF(M24&lt;3," ",IF($AC24&lt;6," ","Х")))</f>
        <v> </v>
      </c>
      <c r="O24" s="134"/>
      <c r="P24" s="133" t="str">
        <f>IF(N24="Х","Х",IF(O24&lt;3," ",IF($AC24&lt;6," ","Х")))</f>
        <v> </v>
      </c>
      <c r="Q24" s="134"/>
      <c r="R24" s="133" t="str">
        <f>IF(P24="Х","Х",IF(Q24&lt;3," ",IF($AC24&lt;6," ","Х")))</f>
        <v> </v>
      </c>
      <c r="S24" s="134"/>
      <c r="T24" s="133" t="str">
        <f>IF(R24="Х","Х",IF(S24&lt;3," ",IF($AC24&lt;6," ","Х")))</f>
        <v> </v>
      </c>
      <c r="U24" s="135"/>
      <c r="V24" s="133" t="str">
        <f>IF(T24="Х","Х",IF(U24&lt;3," ",IF($AC24&lt;6," ","Х")))</f>
        <v> </v>
      </c>
      <c r="W24" s="135"/>
      <c r="X24" s="133" t="str">
        <f>IF(V24="А1",$AZ$7,IF(V24="Б2",$AZ$6,IF(V24="Б1",$BA$7,IF(V24="А2",$BA$6,IF(V24="Х","Х",IF(V24&lt;6," "," "))))))</f>
        <v> </v>
      </c>
      <c r="Y24" s="136"/>
      <c r="Z24" s="133" t="str">
        <f>IF(V24="Х","Х",IF(ISBLANK(Y24),"",IF(Y24&gt;2.5," ",IF(B24=BB$6,BB$7,BB$6))))</f>
        <v/>
      </c>
      <c r="AA24" s="136"/>
      <c r="AB24" s="240" t="str">
        <f>IF(H24="Х",F$5,IF(J24="Х",H$5,IF(L24="Х",J$5,IF(N24="Х",L$5,IF(P24="Х",N$5,IF(R24="Х",P$5,IF(T24="Х",R$5,IF(X24="Х",T$5,""))))))))</f>
        <v/>
      </c>
      <c r="AC24" s="138">
        <f>SUM(G24+I24+K24+M24+O24+Q24+S24+U24+Y24+AA24)</f>
        <v>0</v>
      </c>
      <c r="AD24" s="241" t="str">
        <f>AF24</f>
        <v>1-24</v>
      </c>
      <c r="AE24" s="140" t="str">
        <f>AD24</f>
        <v>1-24</v>
      </c>
      <c r="AF24" s="141" t="str">
        <f>COUNTIF(AG$6:AG$148,"&gt;"&amp;AG$6:AG$148)+1&amp;REPT("-"&amp;COUNTIF(AG$6:AG$148,"&gt;="&amp;AG$6:AG$148),COUNTIF(AG$6:AG$148,AG24)&gt;1)</f>
        <v>1-24</v>
      </c>
      <c r="AG24" s="142">
        <f>(AR24*100)+(AP24*10)-AC24</f>
        <v>1280</v>
      </c>
      <c r="AH24" s="143" t="str">
        <f>IF(OR(F24="Х",F24="св")," ",IF(AND(G24&gt;=0,G24&lt;3),"1"," "))</f>
        <v>1</v>
      </c>
      <c r="AI24" s="90" t="str">
        <f>IF(OR(H24="Х",H24="св")," ",IF(AND(I24&gt;=0,I24&lt;3),"1"," "))</f>
        <v>1</v>
      </c>
      <c r="AJ24" s="90" t="str">
        <f>IF(OR(J24="Х",J24="св")," ",IF(AND(K24&gt;=0,K24&lt;3),"1"," "))</f>
        <v>1</v>
      </c>
      <c r="AK24" s="90" t="str">
        <f>IF(OR(L24="Х",L24="св")," ",IF(AND(M24&gt;=0,M24&lt;3),"1"," "))</f>
        <v>1</v>
      </c>
      <c r="AL24" s="90" t="str">
        <f>IF(OR(N24="Х",N24="св")," ",IF(AND(O24&gt;=0,O24&lt;3),"1"," "))</f>
        <v>1</v>
      </c>
      <c r="AM24" s="90" t="str">
        <f>IF(OR(P24="Х",P24="св")," ",IF(AND(Q24&gt;=0,Q24&lt;3),"1"," "))</f>
        <v>1</v>
      </c>
      <c r="AN24" s="90" t="str">
        <f>IF(OR(R24="Х",R24="св")," ",IF(AND(S24&gt;=0,S24&lt;3),"1"," "))</f>
        <v>1</v>
      </c>
      <c r="AO24" s="90" t="str">
        <f>IF(OR(T24="Х",T24="св")," ",IF(AND(U24&gt;=0,U24&lt;3),"1"," "))</f>
        <v>1</v>
      </c>
      <c r="AP24" s="90">
        <f>COUNTIF(AH24:AO25,1)</f>
        <v>8</v>
      </c>
      <c r="AQ24" s="90">
        <f>AG24-AC24</f>
        <v>1280</v>
      </c>
      <c r="AR24" s="144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0" t="str">
        <f>COUNTIF(AG$6:AG$134,"&gt;"&amp;AG$6:AG$134)+1&amp;REPT("-"&amp;COUNTIF(AG$6:AG$134,"&gt;="&amp;AG$6:AG$134),COUNTIF(AG$6:AG$134,AG24)&gt;1)</f>
        <v>1-24</v>
      </c>
      <c r="AT24" s="143" t="str">
        <f t="shared" ref="AT24:AW24" si="13">COUNTIF(AU$6:AU$134,"&gt;"&amp;AU$6:AU$134)+1&amp;REPT("-"&amp;COUNTIF(AU$6:AU$134,"&gt;="&amp;AU$6:AU$134),COUNTIF(AU$6:AU$134,AU24)&gt;1)</f>
        <v>1-64</v>
      </c>
      <c r="AU24" s="143" t="str">
        <f t="shared" si="13"/>
        <v>1-0</v>
      </c>
      <c r="AV24" s="143" t="str">
        <f t="shared" si="13"/>
        <v>1</v>
      </c>
      <c r="AW24" s="143" t="str">
        <f t="shared" si="13"/>
        <v>55</v>
      </c>
      <c r="AX24" s="145">
        <f>IF(X24="Х","Х",IF(Y24&lt;3,B24,"Х"))</f>
        <v>10</v>
      </c>
      <c r="AY24" s="222">
        <v>14.0</v>
      </c>
      <c r="AZ24" s="152"/>
      <c r="BA24" s="222">
        <v>14.0</v>
      </c>
      <c r="BB24" s="239"/>
      <c r="BC24" s="222">
        <v>14.0</v>
      </c>
      <c r="BD24" s="225">
        <v>14.0</v>
      </c>
      <c r="BE24" s="222">
        <v>14.0</v>
      </c>
      <c r="BF24" s="224">
        <v>15.0</v>
      </c>
      <c r="BG24" s="222">
        <v>14.0</v>
      </c>
      <c r="BH24" s="222">
        <v>14.0</v>
      </c>
      <c r="BI24" s="229"/>
      <c r="BJ24" s="230"/>
      <c r="BK24" s="236"/>
      <c r="BL24" s="237"/>
      <c r="BM24" s="195">
        <v>10.0</v>
      </c>
      <c r="BN24" s="196">
        <v>9.0</v>
      </c>
      <c r="BO24" s="153" t="str">
        <f>IF(BM24&lt;BN24,BM24,"")</f>
        <v/>
      </c>
      <c r="BP24" s="196" t="s">
        <v>195</v>
      </c>
      <c r="BQ24" s="197">
        <f>IFERROR(__xludf.DUMMYFUNCTION("""COMPUTED_VALUE"""),19.0)</f>
        <v>19</v>
      </c>
      <c r="BR24" s="198">
        <v>10.0</v>
      </c>
      <c r="BS24" s="196">
        <v>12.0</v>
      </c>
      <c r="BT24" s="175">
        <f>IF(BR24&lt;BS24,BR24,"")</f>
        <v>10</v>
      </c>
      <c r="BU24" s="196">
        <v>10.0</v>
      </c>
      <c r="BV24" s="196">
        <f>IFERROR(__xludf.DUMMYFUNCTION("""COMPUTED_VALUE"""),18.0)</f>
        <v>18</v>
      </c>
      <c r="BW24" s="199">
        <v>10.0</v>
      </c>
      <c r="BX24" s="74" t="s">
        <v>194</v>
      </c>
      <c r="BY24" s="160">
        <f t="array" ref="BY24">IF(BW24&lt;BX24,BW24,"")</f>
        <v>10</v>
      </c>
      <c r="BZ24" s="160">
        <f t="shared" si="3"/>
        <v>10</v>
      </c>
      <c r="CA24" s="74">
        <f>IFERROR(__xludf.DUMMYFUNCTION("""COMPUTED_VALUE"""),19.0)</f>
        <v>19</v>
      </c>
      <c r="CB24" s="74">
        <f t="shared" si="4"/>
        <v>19</v>
      </c>
      <c r="CC24" s="74"/>
      <c r="CD24" s="179"/>
      <c r="CE24" s="200">
        <v>10.0</v>
      </c>
      <c r="CF24" s="25" t="s">
        <v>194</v>
      </c>
      <c r="CG24" s="153">
        <f t="array" ref="CG24">IF(CE24&lt;CF24,CE24,"")</f>
        <v>10</v>
      </c>
      <c r="CH24" s="74">
        <v>10.0</v>
      </c>
      <c r="CI24" s="182">
        <f>IFERROR(__xludf.DUMMYFUNCTION("""COMPUTED_VALUE"""),19.0)</f>
        <v>19</v>
      </c>
      <c r="CJ24" s="93">
        <v>10.0</v>
      </c>
      <c r="CK24" s="233" t="s">
        <v>194</v>
      </c>
      <c r="CL24" s="153">
        <f t="array" ref="CL24">IF(CJ24&lt;CK24,CJ24,"")</f>
        <v>10</v>
      </c>
      <c r="CM24" s="49">
        <v>10.0</v>
      </c>
      <c r="CN24" s="49">
        <f>IFERROR(__xludf.DUMMYFUNCTION("""COMPUTED_VALUE"""),19.0)</f>
        <v>19</v>
      </c>
      <c r="CO24" s="74">
        <v>10.0</v>
      </c>
      <c r="CP24" s="200" t="s">
        <v>194</v>
      </c>
      <c r="CQ24" s="153">
        <f t="array" ref="CQ24">IF(CO24&lt;CP24,CO24,"")</f>
        <v>10</v>
      </c>
      <c r="CR24" s="93">
        <v>10.0</v>
      </c>
      <c r="CS24" s="234">
        <f>IFERROR(__xludf.DUMMYFUNCTION("""COMPUTED_VALUE"""),19.0)</f>
        <v>19</v>
      </c>
      <c r="CT24" s="200">
        <v>10.0</v>
      </c>
      <c r="CU24" s="74" t="s">
        <v>194</v>
      </c>
      <c r="CV24" s="153">
        <f t="array" ref="CV24">IF(CT24&lt;CU24,CT24,"")</f>
        <v>10</v>
      </c>
      <c r="CW24" s="49">
        <v>10.0</v>
      </c>
      <c r="CX24" s="49">
        <f>IFERROR(__xludf.DUMMYFUNCTION("""COMPUTED_VALUE"""),19.0)</f>
        <v>19</v>
      </c>
      <c r="CY24" s="200">
        <v>10.0</v>
      </c>
      <c r="CZ24" s="74" t="s">
        <v>194</v>
      </c>
      <c r="DA24" s="153">
        <f t="array" ref="DA24">IF(CY24&lt;CZ24,CY24,"")</f>
        <v>10</v>
      </c>
      <c r="DB24" s="49">
        <v>10.0</v>
      </c>
      <c r="DC24" s="49">
        <f>IFERROR(__xludf.DUMMYFUNCTION("""COMPUTED_VALUE"""),19.0)</f>
        <v>19</v>
      </c>
      <c r="DD24" s="49">
        <v>10.0</v>
      </c>
      <c r="DE24" s="49"/>
      <c r="DF24" s="49"/>
      <c r="DG24" s="49"/>
      <c r="DH24" s="49"/>
    </row>
    <row r="25" ht="13.5" customHeight="1">
      <c r="A25" s="208"/>
      <c r="B25" s="165"/>
      <c r="C25" s="165"/>
      <c r="D25" s="165"/>
      <c r="E25" s="165"/>
      <c r="F25" s="166"/>
      <c r="G25" s="167"/>
      <c r="H25" s="168"/>
      <c r="I25" s="167"/>
      <c r="J25" s="168"/>
      <c r="K25" s="167"/>
      <c r="L25" s="168"/>
      <c r="M25" s="167"/>
      <c r="N25" s="168"/>
      <c r="O25" s="167"/>
      <c r="P25" s="168"/>
      <c r="Q25" s="167"/>
      <c r="R25" s="168"/>
      <c r="S25" s="167"/>
      <c r="T25" s="168"/>
      <c r="U25" s="169"/>
      <c r="V25" s="168"/>
      <c r="W25" s="169"/>
      <c r="X25" s="168"/>
      <c r="Y25" s="167"/>
      <c r="Z25" s="168"/>
      <c r="AA25" s="167"/>
      <c r="AB25" s="166"/>
      <c r="AC25" s="165"/>
      <c r="AD25" s="168"/>
      <c r="AE25" s="170"/>
      <c r="AF25" s="171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Y25" s="227">
        <v>15.0</v>
      </c>
      <c r="AZ25" s="152"/>
      <c r="BA25" s="228">
        <v>15.0</v>
      </c>
      <c r="BB25" s="239"/>
      <c r="BC25" s="227">
        <v>15.0</v>
      </c>
      <c r="BD25" s="225">
        <v>15.0</v>
      </c>
      <c r="BE25" s="227">
        <v>15.0</v>
      </c>
      <c r="BF25" s="224">
        <v>14.0</v>
      </c>
      <c r="BG25" s="227">
        <v>15.0</v>
      </c>
      <c r="BH25" s="227">
        <v>15.0</v>
      </c>
      <c r="BI25" s="229"/>
      <c r="BJ25" s="230"/>
      <c r="BK25" s="236"/>
      <c r="BL25" s="237"/>
      <c r="BM25" s="178"/>
      <c r="BO25" s="175" t="str">
        <f>IF(BO24="","",BN24)</f>
        <v/>
      </c>
      <c r="BP25" s="175" t="s">
        <v>195</v>
      </c>
      <c r="BQ25" s="197">
        <f>IFERROR(__xludf.DUMMYFUNCTION("""COMPUTED_VALUE"""),20.0)</f>
        <v>20</v>
      </c>
      <c r="BT25" s="175">
        <f>IF(BT24="","",BS24)</f>
        <v>12</v>
      </c>
      <c r="BU25" s="175">
        <v>12.0</v>
      </c>
      <c r="BV25" s="196">
        <f>IFERROR(__xludf.DUMMYFUNCTION("""COMPUTED_VALUE"""),20.0)</f>
        <v>20</v>
      </c>
      <c r="BW25" s="178"/>
      <c r="BY25" s="160" t="str">
        <f>IF(BY24="","",BX24)</f>
        <v> </v>
      </c>
      <c r="BZ25" s="160" t="str">
        <f t="shared" si="3"/>
        <v> </v>
      </c>
      <c r="CA25" s="74">
        <f>IFERROR(__xludf.DUMMYFUNCTION("""COMPUTED_VALUE"""),20.0)</f>
        <v>20</v>
      </c>
      <c r="CB25" s="74">
        <f t="shared" si="4"/>
        <v>20</v>
      </c>
      <c r="CC25" s="74"/>
      <c r="CD25" s="179"/>
      <c r="CG25" s="180" t="str">
        <f>IF(CG24="","",CF24)</f>
        <v> </v>
      </c>
      <c r="CH25" s="200" t="s">
        <v>194</v>
      </c>
      <c r="CI25" s="182">
        <f>IFERROR(__xludf.DUMMYFUNCTION("""COMPUTED_VALUE"""),20.0)</f>
        <v>20</v>
      </c>
      <c r="CJ25" s="49" t="s">
        <v>195</v>
      </c>
      <c r="CK25" s="235"/>
      <c r="CL25" s="180" t="str">
        <f>IF(CL24="","",CK24)</f>
        <v> </v>
      </c>
      <c r="CM25" s="49" t="s">
        <v>194</v>
      </c>
      <c r="CN25" s="49">
        <f>IFERROR(__xludf.DUMMYFUNCTION("""COMPUTED_VALUE"""),20.0)</f>
        <v>20</v>
      </c>
      <c r="CQ25" s="180" t="str">
        <f>IF(CQ24="","",CP24)</f>
        <v> </v>
      </c>
      <c r="CR25" s="49" t="s">
        <v>194</v>
      </c>
      <c r="CS25" s="234">
        <f>IFERROR(__xludf.DUMMYFUNCTION("""COMPUTED_VALUE"""),20.0)</f>
        <v>20</v>
      </c>
      <c r="CV25" s="180" t="str">
        <f>IF(CV24="","",CU24)</f>
        <v> </v>
      </c>
      <c r="CW25" s="49" t="s">
        <v>194</v>
      </c>
      <c r="CX25" s="49">
        <f>IFERROR(__xludf.DUMMYFUNCTION("""COMPUTED_VALUE"""),20.0)</f>
        <v>20</v>
      </c>
      <c r="DA25" s="180" t="str">
        <f>IF(DA24="","",CZ24)</f>
        <v> </v>
      </c>
      <c r="DB25" s="49" t="s">
        <v>194</v>
      </c>
      <c r="DC25" s="49">
        <f>IFERROR(__xludf.DUMMYFUNCTION("""COMPUTED_VALUE"""),20.0)</f>
        <v>20</v>
      </c>
      <c r="DD25" s="49" t="s">
        <v>195</v>
      </c>
      <c r="DE25" s="49"/>
      <c r="DF25" s="49"/>
      <c r="DG25" s="49"/>
      <c r="DH25" s="49"/>
    </row>
    <row r="26" ht="13.5" customHeight="1">
      <c r="A26" s="208"/>
      <c r="B26" s="187">
        <v>11.0</v>
      </c>
      <c r="C26" s="188" t="str">
        <f>(VLOOKUP($B26,'Пр.взв'!$D$6:$J$63,2,0))</f>
        <v>ЗАИКИНА Анастасия</v>
      </c>
      <c r="D26" s="189" t="str">
        <f>(VLOOKUP($B26,'Пр.взв'!$D$6:$J$63,5,0))</f>
        <v>1р</v>
      </c>
      <c r="E26" s="190" t="str">
        <f>(VLOOKUP($B26,'Пр.взв'!$D$6:$M$63,8,0))</f>
        <v>Приморский</v>
      </c>
      <c r="F26" s="130">
        <v>12.0</v>
      </c>
      <c r="G26" s="131"/>
      <c r="H26" s="132">
        <v>9.0</v>
      </c>
      <c r="I26" s="131"/>
      <c r="J26" s="133" t="str">
        <f>IF(H26="Х","Х",IF($AC26&lt;6," ","Х"))</f>
        <v> </v>
      </c>
      <c r="K26" s="134"/>
      <c r="L26" s="133" t="str">
        <f>IF(J26="Х","Х",IF(K26&lt;3," ",IF($AC26&lt;6," ","Х")))</f>
        <v> </v>
      </c>
      <c r="M26" s="134"/>
      <c r="N26" s="133" t="str">
        <f>IF(L26="Х","Х",IF(M26&lt;3," ",IF($AC26&lt;6," ","Х")))</f>
        <v> </v>
      </c>
      <c r="O26" s="134"/>
      <c r="P26" s="133" t="str">
        <f>IF(N26="Х","Х",IF(O26&lt;3," ",IF($AC26&lt;6," ","Х")))</f>
        <v> </v>
      </c>
      <c r="Q26" s="134"/>
      <c r="R26" s="133" t="str">
        <f>IF(P26="Х","Х",IF(Q26&lt;3," ",IF($AC26&lt;6," ","Х")))</f>
        <v> </v>
      </c>
      <c r="S26" s="134"/>
      <c r="T26" s="133" t="str">
        <f>IF(R26="Х","Х",IF(S26&lt;3," ",IF($AC26&lt;6," ","Х")))</f>
        <v> </v>
      </c>
      <c r="U26" s="135"/>
      <c r="V26" s="133" t="str">
        <f>IF(T26="Х","Х",IF(U26&lt;3," ",IF($AC26&lt;6," ","Х")))</f>
        <v> </v>
      </c>
      <c r="W26" s="135"/>
      <c r="X26" s="133" t="str">
        <f>IF(V26="А1",$AZ$7,IF(V26="Б2",$AZ$6,IF(V26="Б1",$BA$7,IF(V26="А2",$BA$6,IF(V26="Х","Х",IF(V26&lt;6," "," "))))))</f>
        <v> </v>
      </c>
      <c r="Y26" s="136"/>
      <c r="Z26" s="133" t="str">
        <f>IF(V26="Х","Х",IF(ISBLANK(Y26),"",IF(Y26&gt;2.5," ",IF(B26=BB$6,BB$7,BB$6))))</f>
        <v/>
      </c>
      <c r="AA26" s="136"/>
      <c r="AB26" s="240" t="str">
        <f>IF(H26="Х",F$5,IF(J26="Х",H$5,IF(L26="Х",J$5,IF(N26="Х",L$5,IF(P26="Х",N$5,IF(R26="Х",P$5,IF(T26="Х",R$5,IF(X26="Х",T$5,""))))))))</f>
        <v/>
      </c>
      <c r="AC26" s="138">
        <f>SUM(G26+I26+K26+M26+O26+Q26+S26+U26+Y26+AA26)</f>
        <v>0</v>
      </c>
      <c r="AD26" s="241" t="str">
        <f>AF26</f>
        <v>1-24</v>
      </c>
      <c r="AE26" s="140" t="str">
        <f>AD26</f>
        <v>1-24</v>
      </c>
      <c r="AF26" s="141" t="str">
        <f>COUNTIF(AG$6:AG$148,"&gt;"&amp;AG$6:AG$148)+1&amp;REPT("-"&amp;COUNTIF(AG$6:AG$148,"&gt;="&amp;AG$6:AG$148),COUNTIF(AG$6:AG$148,AG26)&gt;1)</f>
        <v>1-24</v>
      </c>
      <c r="AG26" s="142">
        <f>(AR26*100)+(AP26*10)-AC26</f>
        <v>1280</v>
      </c>
      <c r="AH26" s="143" t="str">
        <f>IF(OR(F26="Х",F26="св")," ",IF(AND(G26&gt;=0,G26&lt;3),"1"," "))</f>
        <v>1</v>
      </c>
      <c r="AI26" s="90" t="str">
        <f>IF(OR(H26="Х",H26="св")," ",IF(AND(I26&gt;=0,I26&lt;3),"1"," "))</f>
        <v>1</v>
      </c>
      <c r="AJ26" s="90" t="str">
        <f>IF(OR(J26="Х",J26="св")," ",IF(AND(K26&gt;=0,K26&lt;3),"1"," "))</f>
        <v>1</v>
      </c>
      <c r="AK26" s="90" t="str">
        <f>IF(OR(L26="Х",L26="св")," ",IF(AND(M26&gt;=0,M26&lt;3),"1"," "))</f>
        <v>1</v>
      </c>
      <c r="AL26" s="90" t="str">
        <f>IF(OR(N26="Х",N26="св")," ",IF(AND(O26&gt;=0,O26&lt;3),"1"," "))</f>
        <v>1</v>
      </c>
      <c r="AM26" s="90" t="str">
        <f>IF(OR(P26="Х",P26="св")," ",IF(AND(Q26&gt;=0,Q26&lt;3),"1"," "))</f>
        <v>1</v>
      </c>
      <c r="AN26" s="90" t="str">
        <f>IF(OR(R26="Х",R26="св")," ",IF(AND(S26&gt;=0,S26&lt;3),"1"," "))</f>
        <v>1</v>
      </c>
      <c r="AO26" s="90" t="str">
        <f>IF(OR(T26="Х",T26="св")," ",IF(AND(U26&gt;=0,U26&lt;3),"1"," "))</f>
        <v>1</v>
      </c>
      <c r="AP26" s="90">
        <f>COUNTIF(AH26:AO27,1)</f>
        <v>8</v>
      </c>
      <c r="AQ26" s="90">
        <f>AG26-AC26</f>
        <v>1280</v>
      </c>
      <c r="AR26" s="144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0" t="str">
        <f>COUNTIF(AG$6:AG$134,"&gt;"&amp;AG$6:AG$134)+1&amp;REPT("-"&amp;COUNTIF(AG$6:AG$134,"&gt;="&amp;AG$6:AG$134),COUNTIF(AG$6:AG$134,AG26)&gt;1)</f>
        <v>1-24</v>
      </c>
      <c r="AT26" s="143" t="str">
        <f t="shared" ref="AT26:AW26" si="14">COUNTIF(AU$6:AU$134,"&gt;"&amp;AU$6:AU$134)+1&amp;REPT("-"&amp;COUNTIF(AU$6:AU$134,"&gt;="&amp;AU$6:AU$134),COUNTIF(AU$6:AU$134,AU26)&gt;1)</f>
        <v>1-64</v>
      </c>
      <c r="AU26" s="143" t="str">
        <f t="shared" si="14"/>
        <v>1-0</v>
      </c>
      <c r="AV26" s="143" t="str">
        <f t="shared" si="14"/>
        <v>1</v>
      </c>
      <c r="AW26" s="143" t="str">
        <f t="shared" si="14"/>
        <v>54</v>
      </c>
      <c r="AX26" s="145">
        <f>IF(X26="Х","Х",IF(Y26&lt;3,B26,"Х"))</f>
        <v>11</v>
      </c>
      <c r="AY26" s="222">
        <v>16.0</v>
      </c>
      <c r="AZ26" s="152"/>
      <c r="BA26" s="222">
        <v>16.0</v>
      </c>
      <c r="BB26" s="242"/>
      <c r="BC26" s="222">
        <v>16.0</v>
      </c>
      <c r="BD26" s="225">
        <v>16.0</v>
      </c>
      <c r="BE26" s="222">
        <v>16.0</v>
      </c>
      <c r="BF26" s="224">
        <v>16.0</v>
      </c>
      <c r="BG26" s="222">
        <v>16.0</v>
      </c>
      <c r="BH26" s="222">
        <v>16.0</v>
      </c>
      <c r="BI26" s="52"/>
      <c r="BJ26" s="52"/>
      <c r="BK26" s="52"/>
      <c r="BL26" s="52"/>
      <c r="BM26" s="195">
        <v>11.0</v>
      </c>
      <c r="BN26" s="196">
        <v>12.0</v>
      </c>
      <c r="BO26" s="153">
        <f>IF(BM26&lt;BN26,BM26,"")</f>
        <v>11</v>
      </c>
      <c r="BP26" s="196">
        <v>11.0</v>
      </c>
      <c r="BQ26" s="197">
        <f>IFERROR(__xludf.DUMMYFUNCTION("""COMPUTED_VALUE"""),21.0)</f>
        <v>21</v>
      </c>
      <c r="BR26" s="198">
        <v>11.0</v>
      </c>
      <c r="BS26" s="196">
        <v>9.0</v>
      </c>
      <c r="BT26" s="175" t="str">
        <f>IF(BR26&lt;BS26,BR26,"")</f>
        <v/>
      </c>
      <c r="BU26" s="196" t="s">
        <v>195</v>
      </c>
      <c r="BV26" s="196">
        <f>IFERROR(__xludf.DUMMYFUNCTION("""COMPUTED_VALUE"""),21.0)</f>
        <v>21</v>
      </c>
      <c r="BW26" s="199">
        <v>11.0</v>
      </c>
      <c r="BX26" s="74" t="s">
        <v>194</v>
      </c>
      <c r="BY26" s="160">
        <f t="array" ref="BY26">IF(BW26&lt;BX26,BW26,"")</f>
        <v>11</v>
      </c>
      <c r="BZ26" s="160">
        <f t="shared" si="3"/>
        <v>11</v>
      </c>
      <c r="CA26" s="74">
        <f>IFERROR(__xludf.DUMMYFUNCTION("""COMPUTED_VALUE"""),21.0)</f>
        <v>21</v>
      </c>
      <c r="CB26" s="74">
        <f t="shared" si="4"/>
        <v>21</v>
      </c>
      <c r="CC26" s="74"/>
      <c r="CD26" s="179"/>
      <c r="CE26" s="200">
        <v>11.0</v>
      </c>
      <c r="CF26" s="25" t="s">
        <v>194</v>
      </c>
      <c r="CG26" s="153">
        <f t="array" ref="CG26">IF(CE26&lt;CF26,CE26,"")</f>
        <v>11</v>
      </c>
      <c r="CH26" s="74">
        <v>11.0</v>
      </c>
      <c r="CI26" s="182">
        <f>IFERROR(__xludf.DUMMYFUNCTION("""COMPUTED_VALUE"""),21.0)</f>
        <v>21</v>
      </c>
      <c r="CJ26" s="93">
        <v>11.0</v>
      </c>
      <c r="CK26" s="233" t="s">
        <v>194</v>
      </c>
      <c r="CL26" s="153">
        <f t="array" ref="CL26">IF(CJ26&lt;CK26,CJ26,"")</f>
        <v>11</v>
      </c>
      <c r="CM26" s="49">
        <v>11.0</v>
      </c>
      <c r="CN26" s="49">
        <f>IFERROR(__xludf.DUMMYFUNCTION("""COMPUTED_VALUE"""),21.0)</f>
        <v>21</v>
      </c>
      <c r="CO26" s="74">
        <v>11.0</v>
      </c>
      <c r="CP26" s="200" t="s">
        <v>194</v>
      </c>
      <c r="CQ26" s="153">
        <f t="array" ref="CQ26">IF(CO26&lt;CP26,CO26,"")</f>
        <v>11</v>
      </c>
      <c r="CR26" s="93">
        <v>11.0</v>
      </c>
      <c r="CS26" s="234">
        <f>IFERROR(__xludf.DUMMYFUNCTION("""COMPUTED_VALUE"""),21.0)</f>
        <v>21</v>
      </c>
      <c r="CT26" s="200">
        <v>11.0</v>
      </c>
      <c r="CU26" s="74" t="s">
        <v>194</v>
      </c>
      <c r="CV26" s="153">
        <f t="array" ref="CV26">IF(CT26&lt;CU26,CT26,"")</f>
        <v>11</v>
      </c>
      <c r="CW26" s="49">
        <v>11.0</v>
      </c>
      <c r="CX26" s="49">
        <f>IFERROR(__xludf.DUMMYFUNCTION("""COMPUTED_VALUE"""),21.0)</f>
        <v>21</v>
      </c>
      <c r="CY26" s="200">
        <v>11.0</v>
      </c>
      <c r="CZ26" s="74" t="s">
        <v>194</v>
      </c>
      <c r="DA26" s="153">
        <f t="array" ref="DA26">IF(CY26&lt;CZ26,CY26,"")</f>
        <v>11</v>
      </c>
      <c r="DB26" s="49">
        <v>11.0</v>
      </c>
      <c r="DC26" s="49">
        <f>IFERROR(__xludf.DUMMYFUNCTION("""COMPUTED_VALUE"""),21.0)</f>
        <v>21</v>
      </c>
      <c r="DD26" s="49">
        <v>11.0</v>
      </c>
      <c r="DE26" s="49"/>
      <c r="DF26" s="49"/>
      <c r="DG26" s="49"/>
      <c r="DH26" s="49"/>
    </row>
    <row r="27" ht="13.5" customHeight="1">
      <c r="A27" s="208"/>
      <c r="B27" s="165"/>
      <c r="C27" s="165"/>
      <c r="D27" s="165"/>
      <c r="E27" s="165"/>
      <c r="F27" s="166"/>
      <c r="G27" s="167"/>
      <c r="H27" s="168"/>
      <c r="I27" s="167"/>
      <c r="J27" s="168"/>
      <c r="K27" s="167"/>
      <c r="L27" s="168"/>
      <c r="M27" s="167"/>
      <c r="N27" s="168"/>
      <c r="O27" s="167"/>
      <c r="P27" s="168"/>
      <c r="Q27" s="167"/>
      <c r="R27" s="168"/>
      <c r="S27" s="167"/>
      <c r="T27" s="168"/>
      <c r="U27" s="169"/>
      <c r="V27" s="168"/>
      <c r="W27" s="169"/>
      <c r="X27" s="168"/>
      <c r="Y27" s="167"/>
      <c r="Z27" s="168"/>
      <c r="AA27" s="167"/>
      <c r="AB27" s="166"/>
      <c r="AC27" s="165"/>
      <c r="AD27" s="168"/>
      <c r="AE27" s="170"/>
      <c r="AF27" s="171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Y27" s="227">
        <v>17.0</v>
      </c>
      <c r="AZ27" s="152"/>
      <c r="BA27" s="228">
        <v>17.0</v>
      </c>
      <c r="BB27" s="49"/>
      <c r="BC27" s="227">
        <v>17.0</v>
      </c>
      <c r="BD27" s="225">
        <v>17.0</v>
      </c>
      <c r="BE27" s="227">
        <v>17.0</v>
      </c>
      <c r="BF27" s="224">
        <v>17.0</v>
      </c>
      <c r="BG27" s="227">
        <v>17.0</v>
      </c>
      <c r="BH27" s="227">
        <v>17.0</v>
      </c>
      <c r="BI27" s="52"/>
      <c r="BJ27" s="52"/>
      <c r="BK27" s="52"/>
      <c r="BL27" s="52"/>
      <c r="BM27" s="178"/>
      <c r="BO27" s="175">
        <f>IF(BO26="","",BN26)</f>
        <v>12</v>
      </c>
      <c r="BP27" s="175">
        <v>12.0</v>
      </c>
      <c r="BQ27" s="197">
        <f>IFERROR(__xludf.DUMMYFUNCTION("""COMPUTED_VALUE"""),22.0)</f>
        <v>22</v>
      </c>
      <c r="BT27" s="175" t="str">
        <f>IF(BT26="","",BS26)</f>
        <v/>
      </c>
      <c r="BU27" s="175" t="s">
        <v>195</v>
      </c>
      <c r="BV27" s="196">
        <f>IFERROR(__xludf.DUMMYFUNCTION("""COMPUTED_VALUE"""),23.0)</f>
        <v>23</v>
      </c>
      <c r="BW27" s="178"/>
      <c r="BY27" s="160" t="str">
        <f>IF(BY26="","",BX26)</f>
        <v> </v>
      </c>
      <c r="BZ27" s="160" t="str">
        <f t="shared" si="3"/>
        <v> </v>
      </c>
      <c r="CA27" s="200">
        <f>IFERROR(__xludf.DUMMYFUNCTION("""COMPUTED_VALUE"""),22.0)</f>
        <v>22</v>
      </c>
      <c r="CB27" s="74">
        <f t="shared" si="4"/>
        <v>22</v>
      </c>
      <c r="CC27" s="200"/>
      <c r="CD27" s="243"/>
      <c r="CG27" s="180" t="str">
        <f>IF(CG26="","",CF26)</f>
        <v> </v>
      </c>
      <c r="CH27" s="200" t="s">
        <v>194</v>
      </c>
      <c r="CI27" s="182">
        <f>IFERROR(__xludf.DUMMYFUNCTION("""COMPUTED_VALUE"""),22.0)</f>
        <v>22</v>
      </c>
      <c r="CJ27" s="49" t="s">
        <v>195</v>
      </c>
      <c r="CK27" s="235"/>
      <c r="CL27" s="180" t="str">
        <f>IF(CL26="","",CK26)</f>
        <v> </v>
      </c>
      <c r="CM27" s="49" t="s">
        <v>194</v>
      </c>
      <c r="CN27" s="49">
        <f>IFERROR(__xludf.DUMMYFUNCTION("""COMPUTED_VALUE"""),22.0)</f>
        <v>22</v>
      </c>
      <c r="CQ27" s="180" t="str">
        <f>IF(CQ26="","",CP26)</f>
        <v> </v>
      </c>
      <c r="CR27" s="49" t="s">
        <v>194</v>
      </c>
      <c r="CS27" s="234">
        <f>IFERROR(__xludf.DUMMYFUNCTION("""COMPUTED_VALUE"""),22.0)</f>
        <v>22</v>
      </c>
      <c r="CV27" s="180" t="str">
        <f>IF(CV26="","",CU26)</f>
        <v> </v>
      </c>
      <c r="CW27" s="49" t="s">
        <v>194</v>
      </c>
      <c r="CX27" s="49">
        <f>IFERROR(__xludf.DUMMYFUNCTION("""COMPUTED_VALUE"""),22.0)</f>
        <v>22</v>
      </c>
      <c r="DA27" s="180" t="str">
        <f>IF(DA26="","",CZ26)</f>
        <v> </v>
      </c>
      <c r="DB27" s="49" t="s">
        <v>194</v>
      </c>
      <c r="DC27" s="49">
        <f>IFERROR(__xludf.DUMMYFUNCTION("""COMPUTED_VALUE"""),22.0)</f>
        <v>22</v>
      </c>
      <c r="DD27" s="49" t="s">
        <v>195</v>
      </c>
      <c r="DE27" s="49"/>
      <c r="DF27" s="49"/>
      <c r="DG27" s="49"/>
      <c r="DH27" s="49"/>
    </row>
    <row r="28" ht="13.5" customHeight="1">
      <c r="A28" s="208"/>
      <c r="B28" s="126">
        <v>12.0</v>
      </c>
      <c r="C28" s="188" t="str">
        <f>(VLOOKUP($B28,'Пр.взв'!$D$6:$J$63,2,0))</f>
        <v>ФИЛИППОВА Валерия</v>
      </c>
      <c r="D28" s="189" t="str">
        <f>(VLOOKUP($B28,'Пр.взв'!$D$6:$J$63,5,0))</f>
        <v>1р</v>
      </c>
      <c r="E28" s="190" t="str">
        <f>(VLOOKUP($B28,'Пр.взв'!$D$6:$M$63,8,0))</f>
        <v>ХМАО-Югра</v>
      </c>
      <c r="F28" s="130">
        <v>11.0</v>
      </c>
      <c r="G28" s="131"/>
      <c r="H28" s="132">
        <v>10.0</v>
      </c>
      <c r="I28" s="131"/>
      <c r="J28" s="133" t="str">
        <f>IF(H28="Х","Х",IF($AC28&lt;6," ","Х"))</f>
        <v> </v>
      </c>
      <c r="K28" s="134"/>
      <c r="L28" s="133" t="str">
        <f>IF(J28="Х","Х",IF(K28&lt;3," ",IF($AC28&lt;6," ","Х")))</f>
        <v> </v>
      </c>
      <c r="M28" s="134"/>
      <c r="N28" s="133" t="str">
        <f>IF(L28="Х","Х",IF(M28&lt;3," ",IF($AC28&lt;6," ","Х")))</f>
        <v> </v>
      </c>
      <c r="O28" s="134"/>
      <c r="P28" s="133" t="str">
        <f>IF(N28="Х","Х",IF(O28&lt;3," ",IF($AC28&lt;6," ","Х")))</f>
        <v> </v>
      </c>
      <c r="Q28" s="134"/>
      <c r="R28" s="133" t="str">
        <f>IF(P28="Х","Х",IF(Q28&lt;3," ",IF($AC28&lt;6," ","Х")))</f>
        <v> </v>
      </c>
      <c r="S28" s="134"/>
      <c r="T28" s="133" t="str">
        <f>IF(R28="Х","Х",IF(S28&lt;3," ",IF($AC28&lt;6," ","Х")))</f>
        <v> </v>
      </c>
      <c r="U28" s="135"/>
      <c r="V28" s="133" t="str">
        <f>IF(T28="Х","Х",IF(U28&lt;3," ",IF($AC28&lt;6," ","Х")))</f>
        <v> </v>
      </c>
      <c r="W28" s="135"/>
      <c r="X28" s="133" t="str">
        <f>IF(V28="А1",$AZ$7,IF(V28="Б2",$AZ$6,IF(V28="Б1",$BA$7,IF(V28="А2",$BA$6,IF(V28="Х","Х",IF(V28&lt;6," "," "))))))</f>
        <v> </v>
      </c>
      <c r="Y28" s="136"/>
      <c r="Z28" s="133" t="str">
        <f>IF(V28="Х","Х",IF(ISBLANK(Y28),"",IF(Y28&gt;2.5," ",IF(B28=BB$6,BB$7,BB$6))))</f>
        <v/>
      </c>
      <c r="AA28" s="136"/>
      <c r="AB28" s="240" t="str">
        <f>IF(H28="Х",F$5,IF(J28="Х",H$5,IF(L28="Х",J$5,IF(N28="Х",L$5,IF(P28="Х",N$5,IF(R28="Х",P$5,IF(T28="Х",R$5,IF(X28="Х",T$5,""))))))))</f>
        <v/>
      </c>
      <c r="AC28" s="138">
        <f>SUM(G28+I28+K28+M28+O28+Q28+S28+U28+Y28+AA28)</f>
        <v>0</v>
      </c>
      <c r="AD28" s="241" t="str">
        <f>AF28</f>
        <v>1-24</v>
      </c>
      <c r="AE28" s="140" t="str">
        <f>AD28</f>
        <v>1-24</v>
      </c>
      <c r="AF28" s="141" t="str">
        <f>COUNTIF(AG$6:AG$148,"&gt;"&amp;AG$6:AG$148)+1&amp;REPT("-"&amp;COUNTIF(AG$6:AG$148,"&gt;="&amp;AG$6:AG$148),COUNTIF(AG$6:AG$148,AG28)&gt;1)</f>
        <v>1-24</v>
      </c>
      <c r="AG28" s="142">
        <f>(AR28*100)+(AP28*10)-AC28</f>
        <v>1280</v>
      </c>
      <c r="AH28" s="143" t="str">
        <f>IF(OR(F28="Х",F28="св")," ",IF(AND(G28&gt;=0,G28&lt;3),"1"," "))</f>
        <v>1</v>
      </c>
      <c r="AI28" s="90" t="str">
        <f>IF(OR(H28="Х",H28="св")," ",IF(AND(I28&gt;=0,I28&lt;3),"1"," "))</f>
        <v>1</v>
      </c>
      <c r="AJ28" s="90" t="str">
        <f>IF(OR(J28="Х",J28="св")," ",IF(AND(K28&gt;=0,K28&lt;3),"1"," "))</f>
        <v>1</v>
      </c>
      <c r="AK28" s="90" t="str">
        <f>IF(OR(L28="Х",L28="св")," ",IF(AND(M28&gt;=0,M28&lt;3),"1"," "))</f>
        <v>1</v>
      </c>
      <c r="AL28" s="90" t="str">
        <f>IF(OR(N28="Х",N28="св")," ",IF(AND(O28&gt;=0,O28&lt;3),"1"," "))</f>
        <v>1</v>
      </c>
      <c r="AM28" s="90" t="str">
        <f>IF(OR(P28="Х",P28="св")," ",IF(AND(Q28&gt;=0,Q28&lt;3),"1"," "))</f>
        <v>1</v>
      </c>
      <c r="AN28" s="90" t="str">
        <f>IF(OR(R28="Х",R28="св")," ",IF(AND(S28&gt;=0,S28&lt;3),"1"," "))</f>
        <v>1</v>
      </c>
      <c r="AO28" s="90" t="str">
        <f>IF(OR(T28="Х",T28="св")," ",IF(AND(U28&gt;=0,U28&lt;3),"1"," "))</f>
        <v>1</v>
      </c>
      <c r="AP28" s="90">
        <f>COUNTIF(AH28:AO29,1)</f>
        <v>8</v>
      </c>
      <c r="AQ28" s="90">
        <f>AG28-AC28</f>
        <v>1280</v>
      </c>
      <c r="AR28" s="144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0" t="str">
        <f>COUNTIF(AG$6:AG$134,"&gt;"&amp;AG$6:AG$134)+1&amp;REPT("-"&amp;COUNTIF(AG$6:AG$134,"&gt;="&amp;AG$6:AG$134),COUNTIF(AG$6:AG$134,AG28)&gt;1)</f>
        <v>1-24</v>
      </c>
      <c r="AT28" s="143" t="str">
        <f t="shared" ref="AT28:AW28" si="15">COUNTIF(AU$6:AU$134,"&gt;"&amp;AU$6:AU$134)+1&amp;REPT("-"&amp;COUNTIF(AU$6:AU$134,"&gt;="&amp;AU$6:AU$134),COUNTIF(AU$6:AU$134,AU28)&gt;1)</f>
        <v>1-64</v>
      </c>
      <c r="AU28" s="143" t="str">
        <f t="shared" si="15"/>
        <v>1-0</v>
      </c>
      <c r="AV28" s="143" t="str">
        <f t="shared" si="15"/>
        <v>1</v>
      </c>
      <c r="AW28" s="143" t="str">
        <f t="shared" si="15"/>
        <v>53</v>
      </c>
      <c r="AX28" s="145">
        <f>IF(X28="Х","Х",IF(Y28&lt;3,B28,"Х"))</f>
        <v>12</v>
      </c>
      <c r="AY28" s="222">
        <v>18.0</v>
      </c>
      <c r="AZ28" s="152"/>
      <c r="BA28" s="222">
        <v>18.0</v>
      </c>
      <c r="BB28" s="49"/>
      <c r="BC28" s="222">
        <v>18.0</v>
      </c>
      <c r="BD28" s="225">
        <v>18.0</v>
      </c>
      <c r="BE28" s="222">
        <v>18.0</v>
      </c>
      <c r="BF28" s="224">
        <v>19.0</v>
      </c>
      <c r="BG28" s="222">
        <v>18.0</v>
      </c>
      <c r="BH28" s="222">
        <v>18.0</v>
      </c>
      <c r="BI28" s="52"/>
      <c r="BJ28" s="52"/>
      <c r="BK28" s="52"/>
      <c r="BL28" s="52"/>
      <c r="BM28" s="195">
        <v>12.0</v>
      </c>
      <c r="BN28" s="196">
        <v>11.0</v>
      </c>
      <c r="BO28" s="153" t="str">
        <f>IF(BM28&lt;BN28,BM28,"")</f>
        <v/>
      </c>
      <c r="BP28" s="196" t="s">
        <v>195</v>
      </c>
      <c r="BQ28" s="197">
        <f>IFERROR(__xludf.DUMMYFUNCTION("""COMPUTED_VALUE"""),23.0)</f>
        <v>23</v>
      </c>
      <c r="BR28" s="198">
        <v>12.0</v>
      </c>
      <c r="BS28" s="196">
        <v>10.0</v>
      </c>
      <c r="BT28" s="175" t="str">
        <f>IF(BR28&lt;BS28,BR28,"")</f>
        <v/>
      </c>
      <c r="BU28" s="196" t="s">
        <v>195</v>
      </c>
      <c r="BV28" s="196">
        <f>IFERROR(__xludf.DUMMYFUNCTION("""COMPUTED_VALUE"""),22.0)</f>
        <v>22</v>
      </c>
      <c r="BW28" s="199">
        <v>12.0</v>
      </c>
      <c r="BX28" s="74" t="s">
        <v>194</v>
      </c>
      <c r="BY28" s="160">
        <f t="array" ref="BY28">IF(BW28&lt;BX28,BW28,"")</f>
        <v>12</v>
      </c>
      <c r="BZ28" s="160">
        <f t="shared" si="3"/>
        <v>12</v>
      </c>
      <c r="CA28" s="74">
        <f>IFERROR(__xludf.DUMMYFUNCTION("""COMPUTED_VALUE"""),23.0)</f>
        <v>23</v>
      </c>
      <c r="CB28" s="74">
        <f t="shared" si="4"/>
        <v>23</v>
      </c>
      <c r="CC28" s="200"/>
      <c r="CD28" s="243"/>
      <c r="CE28" s="200">
        <v>12.0</v>
      </c>
      <c r="CF28" s="25" t="s">
        <v>194</v>
      </c>
      <c r="CG28" s="153">
        <f t="array" ref="CG28">IF(CE28&lt;CF28,CE28,"")</f>
        <v>12</v>
      </c>
      <c r="CH28" s="74">
        <v>12.0</v>
      </c>
      <c r="CI28" s="182">
        <f>IFERROR(__xludf.DUMMYFUNCTION("""COMPUTED_VALUE"""),23.0)</f>
        <v>23</v>
      </c>
      <c r="CJ28" s="93">
        <v>12.0</v>
      </c>
      <c r="CK28" s="233" t="s">
        <v>194</v>
      </c>
      <c r="CL28" s="153">
        <f t="array" ref="CL28">IF(CJ28&lt;CK28,CJ28,"")</f>
        <v>12</v>
      </c>
      <c r="CM28" s="49">
        <v>12.0</v>
      </c>
      <c r="CN28" s="49">
        <f>IFERROR(__xludf.DUMMYFUNCTION("""COMPUTED_VALUE"""),23.0)</f>
        <v>23</v>
      </c>
      <c r="CO28" s="74">
        <v>12.0</v>
      </c>
      <c r="CP28" s="200" t="s">
        <v>194</v>
      </c>
      <c r="CQ28" s="153">
        <f t="array" ref="CQ28">IF(CO28&lt;CP28,CO28,"")</f>
        <v>12</v>
      </c>
      <c r="CR28" s="93">
        <v>12.0</v>
      </c>
      <c r="CS28" s="234">
        <f>IFERROR(__xludf.DUMMYFUNCTION("""COMPUTED_VALUE"""),23.0)</f>
        <v>23</v>
      </c>
      <c r="CT28" s="200">
        <v>12.0</v>
      </c>
      <c r="CU28" s="74" t="s">
        <v>194</v>
      </c>
      <c r="CV28" s="153">
        <f t="array" ref="CV28">IF(CT28&lt;CU28,CT28,"")</f>
        <v>12</v>
      </c>
      <c r="CW28" s="49">
        <v>12.0</v>
      </c>
      <c r="CX28" s="49">
        <f>IFERROR(__xludf.DUMMYFUNCTION("""COMPUTED_VALUE"""),23.0)</f>
        <v>23</v>
      </c>
      <c r="CY28" s="200">
        <v>12.0</v>
      </c>
      <c r="CZ28" s="74" t="s">
        <v>194</v>
      </c>
      <c r="DA28" s="153">
        <f t="array" ref="DA28">IF(CY28&lt;CZ28,CY28,"")</f>
        <v>12</v>
      </c>
      <c r="DB28" s="49">
        <v>12.0</v>
      </c>
      <c r="DC28" s="49">
        <f>IFERROR(__xludf.DUMMYFUNCTION("""COMPUTED_VALUE"""),23.0)</f>
        <v>23</v>
      </c>
      <c r="DD28" s="49">
        <v>12.0</v>
      </c>
      <c r="DE28" s="49"/>
      <c r="DF28" s="49"/>
      <c r="DG28" s="49"/>
      <c r="DH28" s="49"/>
    </row>
    <row r="29" ht="13.5" customHeight="1">
      <c r="A29" s="208"/>
      <c r="B29" s="165"/>
      <c r="C29" s="165"/>
      <c r="D29" s="165"/>
      <c r="E29" s="165"/>
      <c r="F29" s="166"/>
      <c r="G29" s="167"/>
      <c r="H29" s="168"/>
      <c r="I29" s="167"/>
      <c r="J29" s="168"/>
      <c r="K29" s="167"/>
      <c r="L29" s="168"/>
      <c r="M29" s="167"/>
      <c r="N29" s="168"/>
      <c r="O29" s="167"/>
      <c r="P29" s="168"/>
      <c r="Q29" s="167"/>
      <c r="R29" s="168"/>
      <c r="S29" s="167"/>
      <c r="T29" s="168"/>
      <c r="U29" s="169"/>
      <c r="V29" s="168"/>
      <c r="W29" s="169"/>
      <c r="X29" s="168"/>
      <c r="Y29" s="167"/>
      <c r="Z29" s="168"/>
      <c r="AA29" s="167"/>
      <c r="AB29" s="166"/>
      <c r="AC29" s="165"/>
      <c r="AD29" s="168"/>
      <c r="AE29" s="170"/>
      <c r="AF29" s="171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Y29" s="227">
        <v>19.0</v>
      </c>
      <c r="AZ29" s="152"/>
      <c r="BA29" s="228">
        <v>19.0</v>
      </c>
      <c r="BB29" s="49"/>
      <c r="BC29" s="227">
        <v>19.0</v>
      </c>
      <c r="BD29" s="225">
        <v>19.0</v>
      </c>
      <c r="BE29" s="227">
        <v>19.0</v>
      </c>
      <c r="BF29" s="224">
        <v>18.0</v>
      </c>
      <c r="BG29" s="227">
        <v>19.0</v>
      </c>
      <c r="BH29" s="227">
        <v>19.0</v>
      </c>
      <c r="BI29" s="52"/>
      <c r="BJ29" s="52"/>
      <c r="BK29" s="52"/>
      <c r="BL29" s="52"/>
      <c r="BM29" s="178"/>
      <c r="BO29" s="175" t="str">
        <f>IF(BO28="","",BN28)</f>
        <v/>
      </c>
      <c r="BP29" s="175" t="s">
        <v>195</v>
      </c>
      <c r="BQ29" s="197">
        <f>IFERROR(__xludf.DUMMYFUNCTION("""COMPUTED_VALUE"""),24.0)</f>
        <v>24</v>
      </c>
      <c r="BT29" s="175" t="str">
        <f>IF(BT28="","",BS28)</f>
        <v/>
      </c>
      <c r="BU29" s="175" t="s">
        <v>195</v>
      </c>
      <c r="BV29" s="196">
        <f>IFERROR(__xludf.DUMMYFUNCTION("""COMPUTED_VALUE"""),24.0)</f>
        <v>24</v>
      </c>
      <c r="BW29" s="178"/>
      <c r="BY29" s="160" t="str">
        <f>IF(BY28="","",BX28)</f>
        <v> </v>
      </c>
      <c r="BZ29" s="160" t="str">
        <f t="shared" si="3"/>
        <v> </v>
      </c>
      <c r="CA29" s="200">
        <f>IFERROR(__xludf.DUMMYFUNCTION("""COMPUTED_VALUE"""),24.0)</f>
        <v>24</v>
      </c>
      <c r="CB29" s="74">
        <f t="shared" si="4"/>
        <v>24</v>
      </c>
      <c r="CC29" s="200"/>
      <c r="CD29" s="243"/>
      <c r="CG29" s="180" t="str">
        <f>IF(CG28="","",CF28)</f>
        <v> </v>
      </c>
      <c r="CH29" s="200" t="s">
        <v>194</v>
      </c>
      <c r="CI29" s="182">
        <f>IFERROR(__xludf.DUMMYFUNCTION("""COMPUTED_VALUE"""),24.0)</f>
        <v>24</v>
      </c>
      <c r="CJ29" s="49" t="s">
        <v>195</v>
      </c>
      <c r="CK29" s="235"/>
      <c r="CL29" s="180" t="str">
        <f>IF(CL28="","",CK28)</f>
        <v> </v>
      </c>
      <c r="CM29" s="49" t="s">
        <v>194</v>
      </c>
      <c r="CN29" s="49">
        <f>IFERROR(__xludf.DUMMYFUNCTION("""COMPUTED_VALUE"""),24.0)</f>
        <v>24</v>
      </c>
      <c r="CQ29" s="180" t="str">
        <f>IF(CQ28="","",CP28)</f>
        <v> </v>
      </c>
      <c r="CR29" s="49" t="s">
        <v>194</v>
      </c>
      <c r="CS29" s="234">
        <f>IFERROR(__xludf.DUMMYFUNCTION("""COMPUTED_VALUE"""),24.0)</f>
        <v>24</v>
      </c>
      <c r="CV29" s="180" t="str">
        <f>IF(CV28="","",CU28)</f>
        <v> </v>
      </c>
      <c r="CW29" s="49" t="s">
        <v>194</v>
      </c>
      <c r="CX29" s="49">
        <f>IFERROR(__xludf.DUMMYFUNCTION("""COMPUTED_VALUE"""),24.0)</f>
        <v>24</v>
      </c>
      <c r="DA29" s="180" t="str">
        <f>IF(DA28="","",CZ28)</f>
        <v> </v>
      </c>
      <c r="DB29" s="49" t="s">
        <v>194</v>
      </c>
      <c r="DC29" s="49">
        <f>IFERROR(__xludf.DUMMYFUNCTION("""COMPUTED_VALUE"""),24.0)</f>
        <v>24</v>
      </c>
      <c r="DD29" s="49" t="s">
        <v>195</v>
      </c>
      <c r="DE29" s="49"/>
      <c r="DF29" s="49"/>
      <c r="DG29" s="49"/>
      <c r="DH29" s="49"/>
    </row>
    <row r="30" ht="13.5" customHeight="1">
      <c r="A30" s="208"/>
      <c r="B30" s="244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245"/>
      <c r="AE30" s="140"/>
      <c r="AF30" s="246"/>
      <c r="AG30" s="247"/>
      <c r="AH30" s="248"/>
      <c r="AI30" s="249"/>
      <c r="AJ30" s="249"/>
      <c r="AK30" s="249"/>
      <c r="AL30" s="249"/>
      <c r="AM30" s="249"/>
      <c r="AN30" s="249"/>
      <c r="AO30" s="249"/>
      <c r="AP30" s="249"/>
      <c r="AQ30" s="249"/>
      <c r="AR30" s="250"/>
      <c r="AS30" s="249"/>
      <c r="AT30" s="248"/>
      <c r="AU30" s="248"/>
      <c r="AV30" s="248"/>
      <c r="AW30" s="248"/>
      <c r="AX30" s="145"/>
      <c r="AY30" s="227">
        <v>20.0</v>
      </c>
      <c r="AZ30" s="152"/>
      <c r="BA30" s="228">
        <v>20.0</v>
      </c>
      <c r="BB30" s="49"/>
      <c r="BC30" s="227">
        <v>20.0</v>
      </c>
      <c r="BD30" s="225">
        <v>20.0</v>
      </c>
      <c r="BE30" s="227">
        <v>20.0</v>
      </c>
      <c r="BF30" s="224">
        <v>20.0</v>
      </c>
      <c r="BG30" s="227">
        <v>20.0</v>
      </c>
      <c r="BH30" s="227">
        <v>20.0</v>
      </c>
      <c r="BI30" s="52"/>
      <c r="BJ30" s="52"/>
      <c r="BK30" s="52"/>
      <c r="BL30" s="52"/>
      <c r="BM30" s="195" t="s">
        <v>195</v>
      </c>
      <c r="BN30" s="196"/>
      <c r="BO30" s="175"/>
      <c r="BP30" s="175"/>
      <c r="BQ30" s="197"/>
      <c r="BR30" s="198" t="s">
        <v>195</v>
      </c>
      <c r="BS30" s="196"/>
      <c r="BT30" s="175"/>
      <c r="BU30" s="175"/>
      <c r="BV30" s="196"/>
      <c r="BW30" s="199" t="s">
        <v>195</v>
      </c>
      <c r="BX30" s="74"/>
      <c r="BY30" s="160"/>
      <c r="BZ30" s="74"/>
      <c r="CA30" s="200">
        <f>IFERROR(__xludf.DUMMYFUNCTION("""COMPUTED_VALUE"""),25.0)</f>
        <v>25</v>
      </c>
      <c r="CB30" s="74"/>
      <c r="CC30" s="200"/>
      <c r="CD30" s="243"/>
      <c r="CE30" s="200" t="s">
        <v>195</v>
      </c>
      <c r="CF30" s="25"/>
      <c r="CG30" s="175"/>
      <c r="CH30" s="200"/>
      <c r="CI30" s="182">
        <f>IFERROR(__xludf.DUMMYFUNCTION("""COMPUTED_VALUE"""),25.0)</f>
        <v>25</v>
      </c>
      <c r="CJ30" s="49" t="s">
        <v>195</v>
      </c>
      <c r="CK30" s="235"/>
      <c r="CL30" s="175"/>
      <c r="CM30" s="49"/>
      <c r="CN30" s="49">
        <f>IFERROR(__xludf.DUMMYFUNCTION("""COMPUTED_VALUE"""),25.0)</f>
        <v>25</v>
      </c>
      <c r="CO30" s="74" t="s">
        <v>195</v>
      </c>
      <c r="CP30" s="200"/>
      <c r="CQ30" s="175"/>
      <c r="CR30" s="49"/>
      <c r="CS30" s="234">
        <f>IFERROR(__xludf.DUMMYFUNCTION("""COMPUTED_VALUE"""),25.0)</f>
        <v>25</v>
      </c>
      <c r="CT30" s="200" t="s">
        <v>195</v>
      </c>
      <c r="CU30" s="74"/>
      <c r="CV30" s="175"/>
      <c r="CW30" s="49"/>
      <c r="CX30" s="49">
        <f>IFERROR(__xludf.DUMMYFUNCTION("""COMPUTED_VALUE"""),25.0)</f>
        <v>25</v>
      </c>
      <c r="CY30" s="200" t="s">
        <v>195</v>
      </c>
      <c r="CZ30" s="74"/>
      <c r="DA30" s="175"/>
      <c r="DB30" s="49"/>
      <c r="DC30" s="49">
        <f>IFERROR(__xludf.DUMMYFUNCTION("""COMPUTED_VALUE"""),25.0)</f>
        <v>25</v>
      </c>
      <c r="DD30" s="49" t="s">
        <v>195</v>
      </c>
      <c r="DE30" s="49"/>
      <c r="DF30" s="49"/>
      <c r="DG30" s="49"/>
      <c r="DH30" s="49"/>
    </row>
    <row r="31" ht="13.5" customHeight="1">
      <c r="A31" s="251"/>
      <c r="B31" s="187">
        <v>13.0</v>
      </c>
      <c r="C31" s="188" t="str">
        <f>(VLOOKUP($B31,'Пр.взв'!$D$6:$J$63,2,0))</f>
        <v>БЕЛАШ софия</v>
      </c>
      <c r="D31" s="189" t="str">
        <f>(VLOOKUP($B31,'Пр.взв'!$D$6:$J$63,5,0))</f>
        <v>КМС</v>
      </c>
      <c r="E31" s="190" t="str">
        <f>(VLOOKUP($B31,'Пр.взв'!$D$6:$M$63,8,0))</f>
        <v>Р.Башкортостан</v>
      </c>
      <c r="F31" s="130">
        <v>14.0</v>
      </c>
      <c r="G31" s="131"/>
      <c r="H31" s="132">
        <v>15.0</v>
      </c>
      <c r="I31" s="131"/>
      <c r="J31" s="133" t="str">
        <f>IF(H31="Х","Х",IF($AC31&lt;6," ","Х"))</f>
        <v> </v>
      </c>
      <c r="K31" s="134"/>
      <c r="L31" s="133" t="str">
        <f>IF(J31="Х","Х",IF(K31&lt;3," ",IF($AC31&lt;6," ","Х")))</f>
        <v> </v>
      </c>
      <c r="M31" s="134"/>
      <c r="N31" s="133" t="str">
        <f>IF(L31="Х","Х",IF(M31&lt;3," ",IF($AC31&lt;6," ","Х")))</f>
        <v> </v>
      </c>
      <c r="O31" s="134"/>
      <c r="P31" s="133" t="str">
        <f>IF(N31="Х","Х",IF(O31&lt;3," ",IF($AC31&lt;6," ","Х")))</f>
        <v> </v>
      </c>
      <c r="Q31" s="134"/>
      <c r="R31" s="133" t="str">
        <f>IF(P31="Х","Х",IF(Q31&lt;3," ",IF($AC31&lt;6," ","Х")))</f>
        <v> </v>
      </c>
      <c r="S31" s="134"/>
      <c r="T31" s="133" t="str">
        <f>IF(R31="Х","Х",IF(S31&lt;3," ",IF($AC31&lt;6," ","Х")))</f>
        <v> </v>
      </c>
      <c r="U31" s="135"/>
      <c r="V31" s="133" t="str">
        <f>IF(T31="Х","Х",IF(U31&lt;3," ",IF($AC31&lt;6," ","Х")))</f>
        <v> </v>
      </c>
      <c r="W31" s="135"/>
      <c r="X31" s="133" t="str">
        <f>IF(V31="А1",$AZ$7,IF(V31="Б2",$AZ$6,IF(V31="Б1",$BA$7,IF(V31="А2",$BA$6,IF(V31="Х","Х",IF(V31&lt;6," "," "))))))</f>
        <v> </v>
      </c>
      <c r="Y31" s="136"/>
      <c r="Z31" s="133" t="str">
        <f>IF(V31="Х","Х",IF(ISBLANK(Y31),"",IF(Y31&gt;2.5," ",IF(B31=BB$6,BB$7,BB$6))))</f>
        <v/>
      </c>
      <c r="AA31" s="136"/>
      <c r="AB31" s="240" t="str">
        <f>IF(H31="Х",F$5,IF(J31="Х",H$5,IF(L31="Х",J$5,IF(N31="Х",L$5,IF(P31="Х",N$5,IF(R31="Х",P$5,IF(T31="Х",R$5,IF(X31="Х",T$5,""))))))))</f>
        <v/>
      </c>
      <c r="AC31" s="138">
        <f>SUM(G31+I31+K31+M31+O31+Q31+S31+U31+Y31+AA31)</f>
        <v>0</v>
      </c>
      <c r="AD31" s="241" t="str">
        <f>AF31</f>
        <v>1-24</v>
      </c>
      <c r="AE31" s="140" t="str">
        <f>AD31</f>
        <v>1-24</v>
      </c>
      <c r="AF31" s="141" t="str">
        <f>COUNTIF(AG$6:AG$148,"&gt;"&amp;AG$6:AG$148)+1&amp;REPT("-"&amp;COUNTIF(AG$6:AG$148,"&gt;="&amp;AG$6:AG$148),COUNTIF(AG$6:AG$148,AG31)&gt;1)</f>
        <v>1-24</v>
      </c>
      <c r="AG31" s="142">
        <f>(AR31*100)+(AP31*10)-AC31</f>
        <v>1280</v>
      </c>
      <c r="AH31" s="143" t="str">
        <f>IF(OR(F31="Х",F31="св")," ",IF(AND(G31&gt;=0,G31&lt;3),"1"," "))</f>
        <v>1</v>
      </c>
      <c r="AI31" s="90" t="str">
        <f>IF(OR(H31="Х",H31="св")," ",IF(AND(I31&gt;=0,I31&lt;3),"1"," "))</f>
        <v>1</v>
      </c>
      <c r="AJ31" s="90" t="str">
        <f>IF(OR(J31="Х",J31="св")," ",IF(AND(K31&gt;=0,K31&lt;3),"1"," "))</f>
        <v>1</v>
      </c>
      <c r="AK31" s="90" t="str">
        <f>IF(OR(L31="Х",L31="св")," ",IF(AND(M31&gt;=0,M31&lt;3),"1"," "))</f>
        <v>1</v>
      </c>
      <c r="AL31" s="90" t="str">
        <f>IF(OR(N31="Х",N31="св")," ",IF(AND(O31&gt;=0,O31&lt;3),"1"," "))</f>
        <v>1</v>
      </c>
      <c r="AM31" s="90" t="str">
        <f>IF(OR(P31="Х",P31="св")," ",IF(AND(Q31&gt;=0,Q31&lt;3),"1"," "))</f>
        <v>1</v>
      </c>
      <c r="AN31" s="90" t="str">
        <f>IF(OR(R31="Х",R31="св")," ",IF(AND(S31&gt;=0,S31&lt;3),"1"," "))</f>
        <v>1</v>
      </c>
      <c r="AO31" s="90" t="str">
        <f>IF(OR(T31="Х",T31="св")," ",IF(AND(U31&gt;=0,U31&lt;3),"1"," "))</f>
        <v>1</v>
      </c>
      <c r="AP31" s="90">
        <f>COUNTIF(AH31:AO32,1)</f>
        <v>8</v>
      </c>
      <c r="AQ31" s="90">
        <f>AG31-AC31</f>
        <v>1280</v>
      </c>
      <c r="AR31" s="144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90" t="str">
        <f>COUNTIF(AG$6:AG$134,"&gt;"&amp;AG$6:AG$134)+1&amp;REPT("-"&amp;COUNTIF(AG$6:AG$134,"&gt;="&amp;AG$6:AG$134),COUNTIF(AG$6:AG$134,AG31)&gt;1)</f>
        <v>1-24</v>
      </c>
      <c r="AT31" s="143" t="str">
        <f t="shared" ref="AT31:AW31" si="16">COUNTIF(AU$6:AU$134,"&gt;"&amp;AU$6:AU$134)+1&amp;REPT("-"&amp;COUNTIF(AU$6:AU$134,"&gt;="&amp;AU$6:AU$134),COUNTIF(AU$6:AU$134,AU31)&gt;1)</f>
        <v>1-64</v>
      </c>
      <c r="AU31" s="143" t="str">
        <f t="shared" si="16"/>
        <v>1-0</v>
      </c>
      <c r="AV31" s="143" t="str">
        <f t="shared" si="16"/>
        <v>1</v>
      </c>
      <c r="AW31" s="143" t="str">
        <f t="shared" si="16"/>
        <v>52</v>
      </c>
      <c r="AX31" s="145">
        <f>IF(X31="Х","Х",IF(Y31&lt;3,B31,"Х"))</f>
        <v>13</v>
      </c>
      <c r="AY31" s="222">
        <v>21.0</v>
      </c>
      <c r="AZ31" s="152"/>
      <c r="BA31" s="222">
        <v>21.0</v>
      </c>
      <c r="BB31" s="49"/>
      <c r="BC31" s="222">
        <v>21.0</v>
      </c>
      <c r="BD31" s="225">
        <v>21.0</v>
      </c>
      <c r="BE31" s="222">
        <v>21.0</v>
      </c>
      <c r="BF31" s="224">
        <v>21.0</v>
      </c>
      <c r="BG31" s="222">
        <v>21.0</v>
      </c>
      <c r="BH31" s="222">
        <v>21.0</v>
      </c>
      <c r="BI31" s="52"/>
      <c r="BJ31" s="52"/>
      <c r="BK31" s="52"/>
      <c r="BL31" s="52"/>
      <c r="BM31" s="195">
        <v>13.0</v>
      </c>
      <c r="BN31" s="196">
        <v>14.0</v>
      </c>
      <c r="BO31" s="153">
        <f>IF(BM31&lt;BN31,BM31,"")</f>
        <v>13</v>
      </c>
      <c r="BP31" s="196">
        <v>13.0</v>
      </c>
      <c r="BQ31" s="197"/>
      <c r="BR31" s="198">
        <v>13.0</v>
      </c>
      <c r="BS31" s="196">
        <v>15.0</v>
      </c>
      <c r="BT31" s="175">
        <f>IF(BR31&lt;BS31,BR31,"")</f>
        <v>13</v>
      </c>
      <c r="BU31" s="196">
        <v>13.0</v>
      </c>
      <c r="BV31" s="196"/>
      <c r="BW31" s="199">
        <v>13.0</v>
      </c>
      <c r="BX31" s="74" t="s">
        <v>194</v>
      </c>
      <c r="BY31" s="160">
        <f t="array" ref="BY31">IF(BW31&lt;BX31,BW31,"")</f>
        <v>13</v>
      </c>
      <c r="BZ31" s="160">
        <f t="shared" ref="BZ31:BZ147" si="17">IF(BY31="св",0,BY31)</f>
        <v>13</v>
      </c>
      <c r="CA31" s="74">
        <f>IFERROR(__xludf.DUMMYFUNCTION("""COMPUTED_VALUE"""),26.0)</f>
        <v>26</v>
      </c>
      <c r="CB31" s="74">
        <f t="shared" ref="CB31:CB147" si="18">IF(CA31=0,"св",CA31)</f>
        <v>26</v>
      </c>
      <c r="CC31" s="200"/>
      <c r="CD31" s="243"/>
      <c r="CE31" s="200">
        <v>13.0</v>
      </c>
      <c r="CF31" s="25" t="s">
        <v>194</v>
      </c>
      <c r="CG31" s="153">
        <f t="array" ref="CG31">IF(CE31&lt;CF31,CE31,"")</f>
        <v>13</v>
      </c>
      <c r="CH31" s="74">
        <v>13.0</v>
      </c>
      <c r="CI31" s="182">
        <f>IFERROR(__xludf.DUMMYFUNCTION("""COMPUTED_VALUE"""),26.0)</f>
        <v>26</v>
      </c>
      <c r="CJ31" s="93">
        <v>13.0</v>
      </c>
      <c r="CK31" s="233" t="s">
        <v>194</v>
      </c>
      <c r="CL31" s="153">
        <f t="array" ref="CL31">IF(CJ31&lt;CK31,CJ31,"")</f>
        <v>13</v>
      </c>
      <c r="CM31" s="49">
        <v>13.0</v>
      </c>
      <c r="CN31" s="49">
        <f>IFERROR(__xludf.DUMMYFUNCTION("""COMPUTED_VALUE"""),26.0)</f>
        <v>26</v>
      </c>
      <c r="CO31" s="74">
        <v>13.0</v>
      </c>
      <c r="CP31" s="200" t="s">
        <v>194</v>
      </c>
      <c r="CQ31" s="153">
        <f t="array" ref="CQ31">IF(CO31&lt;CP31,CO31,"")</f>
        <v>13</v>
      </c>
      <c r="CR31" s="93">
        <v>13.0</v>
      </c>
      <c r="CS31" s="234">
        <f>IFERROR(__xludf.DUMMYFUNCTION("""COMPUTED_VALUE"""),26.0)</f>
        <v>26</v>
      </c>
      <c r="CT31" s="200">
        <v>13.0</v>
      </c>
      <c r="CU31" s="74" t="s">
        <v>194</v>
      </c>
      <c r="CV31" s="153">
        <f t="array" ref="CV31">IF(CT31&lt;CU31,CT31,"")</f>
        <v>13</v>
      </c>
      <c r="CW31" s="49">
        <v>13.0</v>
      </c>
      <c r="CX31" s="49">
        <f>IFERROR(__xludf.DUMMYFUNCTION("""COMPUTED_VALUE"""),26.0)</f>
        <v>26</v>
      </c>
      <c r="CY31" s="200">
        <v>13.0</v>
      </c>
      <c r="CZ31" s="74" t="s">
        <v>194</v>
      </c>
      <c r="DA31" s="153">
        <f t="array" ref="DA31">IF(CY31&lt;CZ31,CY31,"")</f>
        <v>13</v>
      </c>
      <c r="DB31" s="49">
        <v>13.0</v>
      </c>
      <c r="DC31" s="49">
        <f>IFERROR(__xludf.DUMMYFUNCTION("""COMPUTED_VALUE"""),26.0)</f>
        <v>26</v>
      </c>
      <c r="DD31" s="49">
        <v>13.0</v>
      </c>
      <c r="DE31" s="49"/>
      <c r="DF31" s="49"/>
      <c r="DG31" s="49"/>
      <c r="DH31" s="49"/>
    </row>
    <row r="32" ht="13.5" customHeight="1">
      <c r="A32" s="251"/>
      <c r="B32" s="165"/>
      <c r="C32" s="165"/>
      <c r="D32" s="165"/>
      <c r="E32" s="165"/>
      <c r="F32" s="166"/>
      <c r="G32" s="167"/>
      <c r="H32" s="168"/>
      <c r="I32" s="167"/>
      <c r="J32" s="168"/>
      <c r="K32" s="167"/>
      <c r="L32" s="168"/>
      <c r="M32" s="167"/>
      <c r="N32" s="168"/>
      <c r="O32" s="167"/>
      <c r="P32" s="168"/>
      <c r="Q32" s="167"/>
      <c r="R32" s="168"/>
      <c r="S32" s="167"/>
      <c r="T32" s="168"/>
      <c r="U32" s="169"/>
      <c r="V32" s="168"/>
      <c r="W32" s="169"/>
      <c r="X32" s="168"/>
      <c r="Y32" s="167"/>
      <c r="Z32" s="168"/>
      <c r="AA32" s="167"/>
      <c r="AB32" s="166"/>
      <c r="AC32" s="165"/>
      <c r="AD32" s="168"/>
      <c r="AE32" s="170"/>
      <c r="AF32" s="171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Y32" s="227">
        <v>22.0</v>
      </c>
      <c r="AZ32" s="152"/>
      <c r="BA32" s="228">
        <v>22.0</v>
      </c>
      <c r="BB32" s="49"/>
      <c r="BC32" s="227">
        <v>22.0</v>
      </c>
      <c r="BD32" s="225">
        <v>22.0</v>
      </c>
      <c r="BE32" s="227">
        <v>22.0</v>
      </c>
      <c r="BF32" s="224">
        <v>23.0</v>
      </c>
      <c r="BG32" s="227">
        <v>22.0</v>
      </c>
      <c r="BH32" s="227">
        <v>22.0</v>
      </c>
      <c r="BI32" s="49"/>
      <c r="BJ32" s="49"/>
      <c r="BK32" s="49"/>
      <c r="BL32" s="49"/>
      <c r="BM32" s="178"/>
      <c r="BO32" s="175">
        <f>IF(BO31="","",BN31)</f>
        <v>14</v>
      </c>
      <c r="BP32" s="175">
        <v>14.0</v>
      </c>
      <c r="BQ32" s="197"/>
      <c r="BT32" s="175">
        <f>IF(BT31="","",BS31)</f>
        <v>15</v>
      </c>
      <c r="BU32" s="175">
        <v>15.0</v>
      </c>
      <c r="BV32" s="196"/>
      <c r="BW32" s="178"/>
      <c r="BY32" s="160" t="str">
        <f>IF(BY31="","",BX31)</f>
        <v> </v>
      </c>
      <c r="BZ32" s="160" t="str">
        <f t="shared" si="17"/>
        <v> </v>
      </c>
      <c r="CA32" s="200">
        <f>IFERROR(__xludf.DUMMYFUNCTION("""COMPUTED_VALUE"""),27.0)</f>
        <v>27</v>
      </c>
      <c r="CB32" s="74">
        <f t="shared" si="18"/>
        <v>27</v>
      </c>
      <c r="CC32" s="200"/>
      <c r="CD32" s="243"/>
      <c r="CG32" s="180" t="str">
        <f>IF(CG31="","",CF31)</f>
        <v> </v>
      </c>
      <c r="CH32" s="200" t="s">
        <v>194</v>
      </c>
      <c r="CI32" s="182">
        <f>IFERROR(__xludf.DUMMYFUNCTION("""COMPUTED_VALUE"""),27.0)</f>
        <v>27</v>
      </c>
      <c r="CJ32" s="49" t="s">
        <v>195</v>
      </c>
      <c r="CK32" s="235"/>
      <c r="CL32" s="180" t="str">
        <f>IF(CL31="","",CK31)</f>
        <v> </v>
      </c>
      <c r="CM32" s="49" t="s">
        <v>194</v>
      </c>
      <c r="CN32" s="49">
        <f>IFERROR(__xludf.DUMMYFUNCTION("""COMPUTED_VALUE"""),27.0)</f>
        <v>27</v>
      </c>
      <c r="CQ32" s="180" t="str">
        <f>IF(CQ31="","",CP31)</f>
        <v> </v>
      </c>
      <c r="CR32" s="49" t="s">
        <v>194</v>
      </c>
      <c r="CS32" s="234">
        <f>IFERROR(__xludf.DUMMYFUNCTION("""COMPUTED_VALUE"""),27.0)</f>
        <v>27</v>
      </c>
      <c r="CV32" s="180" t="str">
        <f>IF(CV31="","",CU31)</f>
        <v> </v>
      </c>
      <c r="CW32" s="49" t="s">
        <v>194</v>
      </c>
      <c r="CX32" s="49">
        <f>IFERROR(__xludf.DUMMYFUNCTION("""COMPUTED_VALUE"""),27.0)</f>
        <v>27</v>
      </c>
      <c r="DA32" s="180" t="str">
        <f>IF(DA31="","",CZ31)</f>
        <v> </v>
      </c>
      <c r="DB32" s="49" t="s">
        <v>194</v>
      </c>
      <c r="DC32" s="49">
        <f>IFERROR(__xludf.DUMMYFUNCTION("""COMPUTED_VALUE"""),27.0)</f>
        <v>27</v>
      </c>
      <c r="DD32" s="49" t="s">
        <v>195</v>
      </c>
      <c r="DE32" s="49"/>
      <c r="DF32" s="49"/>
      <c r="DG32" s="49"/>
      <c r="DH32" s="49"/>
    </row>
    <row r="33" ht="13.5" customHeight="1">
      <c r="A33" s="118"/>
      <c r="B33" s="187">
        <v>14.0</v>
      </c>
      <c r="C33" s="188" t="str">
        <f>(VLOOKUP($B33,'Пр.взв'!$D$6:$J$63,2,0))</f>
        <v>ТАРАСОВА Аврора</v>
      </c>
      <c r="D33" s="189" t="str">
        <f>(VLOOKUP($B33,'Пр.взв'!$D$6:$J$63,5,0))</f>
        <v>1р</v>
      </c>
      <c r="E33" s="190" t="str">
        <f>(VLOOKUP($B33,'Пр.взв'!$D$6:$M$63,8,0))</f>
        <v>Московская</v>
      </c>
      <c r="F33" s="130">
        <v>13.0</v>
      </c>
      <c r="G33" s="131"/>
      <c r="H33" s="132">
        <v>16.0</v>
      </c>
      <c r="I33" s="131"/>
      <c r="J33" s="133" t="str">
        <f>IF(H33="Х","Х",IF($AC33&lt;6," ","Х"))</f>
        <v> </v>
      </c>
      <c r="K33" s="134"/>
      <c r="L33" s="133" t="str">
        <f>IF(J33="Х","Х",IF(K33&lt;3," ",IF($AC33&lt;6," ","Х")))</f>
        <v> </v>
      </c>
      <c r="M33" s="134"/>
      <c r="N33" s="133" t="str">
        <f>IF(L33="Х","Х",IF(M33&lt;3," ",IF($AC33&lt;6," ","Х")))</f>
        <v> </v>
      </c>
      <c r="O33" s="134"/>
      <c r="P33" s="133" t="str">
        <f>IF(N33="Х","Х",IF(O33&lt;3," ",IF($AC33&lt;6," ","Х")))</f>
        <v> </v>
      </c>
      <c r="Q33" s="134"/>
      <c r="R33" s="133" t="str">
        <f>IF(P33="Х","Х",IF(Q33&lt;3," ",IF($AC33&lt;6," ","Х")))</f>
        <v> </v>
      </c>
      <c r="S33" s="134"/>
      <c r="T33" s="133" t="str">
        <f>IF(R33="Х","Х",IF(S33&lt;3," ",IF($AC33&lt;6," ","Х")))</f>
        <v> </v>
      </c>
      <c r="U33" s="135"/>
      <c r="V33" s="133" t="str">
        <f>IF(T33="Х","Х",IF(U33&lt;3," ",IF($AC33&lt;6," ","Х")))</f>
        <v> </v>
      </c>
      <c r="W33" s="135"/>
      <c r="X33" s="133" t="str">
        <f>IF(V33="А1",$AZ$7,IF(V33="Б2",$AZ$6,IF(V33="Б1",$BA$7,IF(V33="А2",$BA$6,IF(V33="Х","Х",IF(V33&lt;6," "," "))))))</f>
        <v> </v>
      </c>
      <c r="Y33" s="136"/>
      <c r="Z33" s="133" t="str">
        <f>IF(V33="Х","Х",IF(ISBLANK(Y33),"",IF(Y33&gt;2.5," ",IF(B33=BB$6,BB$7,BB$6))))</f>
        <v/>
      </c>
      <c r="AA33" s="136"/>
      <c r="AB33" s="240" t="str">
        <f>IF(H33="Х",F$5,IF(J33="Х",H$5,IF(L33="Х",J$5,IF(N33="Х",L$5,IF(P33="Х",N$5,IF(R33="Х",P$5,IF(T33="Х",R$5,IF(X33="Х",T$5,""))))))))</f>
        <v/>
      </c>
      <c r="AC33" s="138">
        <f>SUM(G33+I33+K33+M33+O33+Q33+S33+U33+Y33+AA33)</f>
        <v>0</v>
      </c>
      <c r="AD33" s="241" t="str">
        <f>AF33</f>
        <v>1-24</v>
      </c>
      <c r="AE33" s="140" t="str">
        <f>AD33</f>
        <v>1-24</v>
      </c>
      <c r="AF33" s="141" t="str">
        <f>COUNTIF(AG$6:AG$148,"&gt;"&amp;AG$6:AG$148)+1&amp;REPT("-"&amp;COUNTIF(AG$6:AG$148,"&gt;="&amp;AG$6:AG$148),COUNTIF(AG$6:AG$148,AG33)&gt;1)</f>
        <v>1-24</v>
      </c>
      <c r="AG33" s="142">
        <f>(AR33*100)+(AP33*10)-AC33</f>
        <v>1280</v>
      </c>
      <c r="AH33" s="143" t="str">
        <f>IF(OR(F33="Х",F33="св")," ",IF(AND(G33&gt;=0,G33&lt;3),"1"," "))</f>
        <v>1</v>
      </c>
      <c r="AI33" s="90" t="str">
        <f>IF(OR(H33="Х",H33="св")," ",IF(AND(I33&gt;=0,I33&lt;3),"1"," "))</f>
        <v>1</v>
      </c>
      <c r="AJ33" s="90" t="str">
        <f>IF(OR(J33="Х",J33="св")," ",IF(AND(K33&gt;=0,K33&lt;3),"1"," "))</f>
        <v>1</v>
      </c>
      <c r="AK33" s="90" t="str">
        <f>IF(OR(L33="Х",L33="св")," ",IF(AND(M33&gt;=0,M33&lt;3),"1"," "))</f>
        <v>1</v>
      </c>
      <c r="AL33" s="90" t="str">
        <f>IF(OR(N33="Х",N33="св")," ",IF(AND(O33&gt;=0,O33&lt;3),"1"," "))</f>
        <v>1</v>
      </c>
      <c r="AM33" s="90" t="str">
        <f>IF(OR(P33="Х",P33="св")," ",IF(AND(Q33&gt;=0,Q33&lt;3),"1"," "))</f>
        <v>1</v>
      </c>
      <c r="AN33" s="90" t="str">
        <f>IF(OR(R33="Х",R33="св")," ",IF(AND(S33&gt;=0,S33&lt;3),"1"," "))</f>
        <v>1</v>
      </c>
      <c r="AO33" s="90" t="str">
        <f>IF(OR(T33="Х",T33="св")," ",IF(AND(U33&gt;=0,U33&lt;3),"1"," "))</f>
        <v>1</v>
      </c>
      <c r="AP33" s="90">
        <f>COUNTIF(AH33:AO34,1)</f>
        <v>8</v>
      </c>
      <c r="AQ33" s="90">
        <f>AG33-AC33</f>
        <v>1280</v>
      </c>
      <c r="AR33" s="144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90" t="str">
        <f>COUNTIF(AG$6:AG$134,"&gt;"&amp;AG$6:AG$134)+1&amp;REPT("-"&amp;COUNTIF(AG$6:AG$134,"&gt;="&amp;AG$6:AG$134),COUNTIF(AG$6:AG$134,AG33)&gt;1)</f>
        <v>1-24</v>
      </c>
      <c r="AT33" s="143" t="str">
        <f t="shared" ref="AT33:AW33" si="19">COUNTIF(AU$6:AU$134,"&gt;"&amp;AU$6:AU$134)+1&amp;REPT("-"&amp;COUNTIF(AU$6:AU$134,"&gt;="&amp;AU$6:AU$134),COUNTIF(AU$6:AU$134,AU33)&gt;1)</f>
        <v>1-64</v>
      </c>
      <c r="AU33" s="143" t="str">
        <f t="shared" si="19"/>
        <v>1-0</v>
      </c>
      <c r="AV33" s="143" t="str">
        <f t="shared" si="19"/>
        <v>1</v>
      </c>
      <c r="AW33" s="143" t="str">
        <f t="shared" si="19"/>
        <v>51</v>
      </c>
      <c r="AX33" s="145">
        <f>IF(X33="Х","Х",IF(Y33&lt;3,B33,"Х"))</f>
        <v>14</v>
      </c>
      <c r="AY33" s="222">
        <v>23.0</v>
      </c>
      <c r="AZ33" s="152"/>
      <c r="BA33" s="222">
        <v>23.0</v>
      </c>
      <c r="BB33" s="49"/>
      <c r="BC33" s="222">
        <v>23.0</v>
      </c>
      <c r="BD33" s="225">
        <v>23.0</v>
      </c>
      <c r="BE33" s="222">
        <v>23.0</v>
      </c>
      <c r="BF33" s="224">
        <v>22.0</v>
      </c>
      <c r="BG33" s="222">
        <v>23.0</v>
      </c>
      <c r="BH33" s="222">
        <v>23.0</v>
      </c>
      <c r="BI33" s="49"/>
      <c r="BJ33" s="49"/>
      <c r="BK33" s="49"/>
      <c r="BL33" s="49"/>
      <c r="BM33" s="195">
        <v>14.0</v>
      </c>
      <c r="BN33" s="196">
        <v>13.0</v>
      </c>
      <c r="BO33" s="153" t="str">
        <f>IF(BM33&lt;BN33,BM33,"")</f>
        <v/>
      </c>
      <c r="BP33" s="196" t="s">
        <v>195</v>
      </c>
      <c r="BQ33" s="197"/>
      <c r="BR33" s="198">
        <v>14.0</v>
      </c>
      <c r="BS33" s="196">
        <v>16.0</v>
      </c>
      <c r="BT33" s="175">
        <f>IF(BR33&lt;BS33,BR33,"")</f>
        <v>14</v>
      </c>
      <c r="BU33" s="196">
        <v>14.0</v>
      </c>
      <c r="BV33" s="196"/>
      <c r="BW33" s="199">
        <v>14.0</v>
      </c>
      <c r="BX33" s="74" t="s">
        <v>194</v>
      </c>
      <c r="BY33" s="160">
        <f t="array" ref="BY33">IF(BW33&lt;BX33,BW33,"")</f>
        <v>14</v>
      </c>
      <c r="BZ33" s="160">
        <f t="shared" si="17"/>
        <v>14</v>
      </c>
      <c r="CA33" s="74">
        <f>IFERROR(__xludf.DUMMYFUNCTION("""COMPUTED_VALUE"""),28.0)</f>
        <v>28</v>
      </c>
      <c r="CB33" s="74">
        <f t="shared" si="18"/>
        <v>28</v>
      </c>
      <c r="CC33" s="200"/>
      <c r="CD33" s="243"/>
      <c r="CE33" s="200">
        <v>14.0</v>
      </c>
      <c r="CF33" s="25" t="s">
        <v>194</v>
      </c>
      <c r="CG33" s="153">
        <f t="array" ref="CG33">IF(CE33&lt;CF33,CE33,"")</f>
        <v>14</v>
      </c>
      <c r="CH33" s="74">
        <v>14.0</v>
      </c>
      <c r="CI33" s="182">
        <f>IFERROR(__xludf.DUMMYFUNCTION("""COMPUTED_VALUE"""),28.0)</f>
        <v>28</v>
      </c>
      <c r="CJ33" s="93">
        <v>14.0</v>
      </c>
      <c r="CK33" s="233" t="s">
        <v>194</v>
      </c>
      <c r="CL33" s="153">
        <f t="array" ref="CL33">IF(CJ33&lt;CK33,CJ33,"")</f>
        <v>14</v>
      </c>
      <c r="CM33" s="49">
        <v>14.0</v>
      </c>
      <c r="CN33" s="49">
        <f>IFERROR(__xludf.DUMMYFUNCTION("""COMPUTED_VALUE"""),28.0)</f>
        <v>28</v>
      </c>
      <c r="CO33" s="74">
        <v>14.0</v>
      </c>
      <c r="CP33" s="200" t="s">
        <v>194</v>
      </c>
      <c r="CQ33" s="153">
        <f t="array" ref="CQ33">IF(CO33&lt;CP33,CO33,"")</f>
        <v>14</v>
      </c>
      <c r="CR33" s="93">
        <v>14.0</v>
      </c>
      <c r="CS33" s="234">
        <f>IFERROR(__xludf.DUMMYFUNCTION("""COMPUTED_VALUE"""),28.0)</f>
        <v>28</v>
      </c>
      <c r="CT33" s="200">
        <v>14.0</v>
      </c>
      <c r="CU33" s="74" t="s">
        <v>194</v>
      </c>
      <c r="CV33" s="153">
        <f t="array" ref="CV33">IF(CT33&lt;CU33,CT33,"")</f>
        <v>14</v>
      </c>
      <c r="CW33" s="49">
        <v>14.0</v>
      </c>
      <c r="CX33" s="49">
        <f>IFERROR(__xludf.DUMMYFUNCTION("""COMPUTED_VALUE"""),28.0)</f>
        <v>28</v>
      </c>
      <c r="CY33" s="200">
        <v>14.0</v>
      </c>
      <c r="CZ33" s="74" t="s">
        <v>194</v>
      </c>
      <c r="DA33" s="153">
        <f t="array" ref="DA33">IF(CY33&lt;CZ33,CY33,"")</f>
        <v>14</v>
      </c>
      <c r="DB33" s="49">
        <v>14.0</v>
      </c>
      <c r="DC33" s="49">
        <f>IFERROR(__xludf.DUMMYFUNCTION("""COMPUTED_VALUE"""),28.0)</f>
        <v>28</v>
      </c>
      <c r="DD33" s="49">
        <v>14.0</v>
      </c>
      <c r="DE33" s="49"/>
      <c r="DF33" s="49"/>
      <c r="DG33" s="49"/>
      <c r="DH33" s="49"/>
    </row>
    <row r="34" ht="13.5" customHeight="1">
      <c r="A34" s="118"/>
      <c r="B34" s="165"/>
      <c r="C34" s="165"/>
      <c r="D34" s="165"/>
      <c r="E34" s="165"/>
      <c r="F34" s="166"/>
      <c r="G34" s="167"/>
      <c r="H34" s="168"/>
      <c r="I34" s="167"/>
      <c r="J34" s="168"/>
      <c r="K34" s="167"/>
      <c r="L34" s="168"/>
      <c r="M34" s="167"/>
      <c r="N34" s="168"/>
      <c r="O34" s="167"/>
      <c r="P34" s="168"/>
      <c r="Q34" s="167"/>
      <c r="R34" s="168"/>
      <c r="S34" s="167"/>
      <c r="T34" s="168"/>
      <c r="U34" s="169"/>
      <c r="V34" s="168"/>
      <c r="W34" s="169"/>
      <c r="X34" s="168"/>
      <c r="Y34" s="167"/>
      <c r="Z34" s="168"/>
      <c r="AA34" s="167"/>
      <c r="AB34" s="166"/>
      <c r="AC34" s="165"/>
      <c r="AD34" s="168"/>
      <c r="AE34" s="170"/>
      <c r="AF34" s="171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Y34" s="227">
        <v>24.0</v>
      </c>
      <c r="AZ34" s="152"/>
      <c r="BA34" s="228">
        <v>24.0</v>
      </c>
      <c r="BB34" s="49"/>
      <c r="BC34" s="227">
        <v>24.0</v>
      </c>
      <c r="BD34" s="225">
        <v>24.0</v>
      </c>
      <c r="BE34" s="227">
        <v>24.0</v>
      </c>
      <c r="BF34" s="224">
        <v>24.0</v>
      </c>
      <c r="BG34" s="227">
        <v>24.0</v>
      </c>
      <c r="BH34" s="227">
        <v>24.0</v>
      </c>
      <c r="BI34" s="49"/>
      <c r="BJ34" s="49"/>
      <c r="BK34" s="49"/>
      <c r="BL34" s="49"/>
      <c r="BM34" s="178"/>
      <c r="BO34" s="175" t="str">
        <f>IF(BO33="","",BN33)</f>
        <v/>
      </c>
      <c r="BP34" s="175" t="s">
        <v>195</v>
      </c>
      <c r="BQ34" s="197"/>
      <c r="BT34" s="175">
        <f>IF(BT33="","",BS33)</f>
        <v>16</v>
      </c>
      <c r="BU34" s="175">
        <v>16.0</v>
      </c>
      <c r="BV34" s="196"/>
      <c r="BW34" s="178"/>
      <c r="BY34" s="160" t="str">
        <f>IF(BY33="","",BX33)</f>
        <v> </v>
      </c>
      <c r="BZ34" s="160" t="str">
        <f t="shared" si="17"/>
        <v> </v>
      </c>
      <c r="CA34" s="200">
        <f>IFERROR(__xludf.DUMMYFUNCTION("""COMPUTED_VALUE"""),29.0)</f>
        <v>29</v>
      </c>
      <c r="CB34" s="74">
        <f t="shared" si="18"/>
        <v>29</v>
      </c>
      <c r="CC34" s="200"/>
      <c r="CD34" s="243"/>
      <c r="CG34" s="180" t="str">
        <f>IF(CG33="","",CF33)</f>
        <v> </v>
      </c>
      <c r="CH34" s="200" t="s">
        <v>194</v>
      </c>
      <c r="CI34" s="182">
        <f>IFERROR(__xludf.DUMMYFUNCTION("""COMPUTED_VALUE"""),29.0)</f>
        <v>29</v>
      </c>
      <c r="CJ34" s="49" t="s">
        <v>195</v>
      </c>
      <c r="CK34" s="235"/>
      <c r="CL34" s="180" t="str">
        <f>IF(CL33="","",CK33)</f>
        <v> </v>
      </c>
      <c r="CM34" s="49" t="s">
        <v>194</v>
      </c>
      <c r="CN34" s="49">
        <f>IFERROR(__xludf.DUMMYFUNCTION("""COMPUTED_VALUE"""),29.0)</f>
        <v>29</v>
      </c>
      <c r="CQ34" s="180" t="str">
        <f>IF(CQ33="","",CP33)</f>
        <v> </v>
      </c>
      <c r="CR34" s="49" t="s">
        <v>194</v>
      </c>
      <c r="CS34" s="234">
        <f>IFERROR(__xludf.DUMMYFUNCTION("""COMPUTED_VALUE"""),29.0)</f>
        <v>29</v>
      </c>
      <c r="CV34" s="180" t="str">
        <f>IF(CV33="","",CU33)</f>
        <v> </v>
      </c>
      <c r="CW34" s="49" t="s">
        <v>194</v>
      </c>
      <c r="CX34" s="49">
        <f>IFERROR(__xludf.DUMMYFUNCTION("""COMPUTED_VALUE"""),29.0)</f>
        <v>29</v>
      </c>
      <c r="DA34" s="180" t="str">
        <f>IF(DA33="","",CZ33)</f>
        <v> </v>
      </c>
      <c r="DB34" s="49" t="s">
        <v>194</v>
      </c>
      <c r="DC34" s="49">
        <f>IFERROR(__xludf.DUMMYFUNCTION("""COMPUTED_VALUE"""),29.0)</f>
        <v>29</v>
      </c>
      <c r="DD34" s="49" t="s">
        <v>195</v>
      </c>
      <c r="DE34" s="49"/>
      <c r="DF34" s="49"/>
      <c r="DG34" s="49"/>
      <c r="DH34" s="49"/>
    </row>
    <row r="35" ht="13.5" customHeight="1">
      <c r="A35" s="118"/>
      <c r="B35" s="187">
        <v>15.0</v>
      </c>
      <c r="C35" s="188" t="str">
        <f>(VLOOKUP($B35,'Пр.взв'!$D$6:$J$63,2,0))</f>
        <v>БОБРИКОВА Елизавета</v>
      </c>
      <c r="D35" s="189" t="str">
        <f>(VLOOKUP($B35,'Пр.взв'!$D$6:$J$63,5,0))</f>
        <v>КМС</v>
      </c>
      <c r="E35" s="190" t="str">
        <f>(VLOOKUP($B35,'Пр.взв'!$D$6:$M$63,8,0))</f>
        <v>Тверская</v>
      </c>
      <c r="F35" s="130">
        <v>16.0</v>
      </c>
      <c r="G35" s="131"/>
      <c r="H35" s="132">
        <v>13.0</v>
      </c>
      <c r="I35" s="131"/>
      <c r="J35" s="133" t="str">
        <f>IF(H35="Х","Х",IF($AC35&lt;6," ","Х"))</f>
        <v> </v>
      </c>
      <c r="K35" s="134"/>
      <c r="L35" s="133" t="str">
        <f>IF(J35="Х","Х",IF(K35&lt;3," ",IF($AC35&lt;6," ","Х")))</f>
        <v> </v>
      </c>
      <c r="M35" s="134"/>
      <c r="N35" s="133" t="str">
        <f>IF(L35="Х","Х",IF(M35&lt;3," ",IF($AC35&lt;6," ","Х")))</f>
        <v> </v>
      </c>
      <c r="O35" s="134"/>
      <c r="P35" s="133" t="str">
        <f>IF(N35="Х","Х",IF(O35&lt;3," ",IF($AC35&lt;6," ","Х")))</f>
        <v> </v>
      </c>
      <c r="Q35" s="134"/>
      <c r="R35" s="133" t="str">
        <f>IF(P35="Х","Х",IF(Q35&lt;3," ",IF($AC35&lt;6," ","Х")))</f>
        <v> </v>
      </c>
      <c r="S35" s="134"/>
      <c r="T35" s="133" t="str">
        <f>IF(R35="Х","Х",IF(S35&lt;3," ",IF($AC35&lt;6," ","Х")))</f>
        <v> </v>
      </c>
      <c r="U35" s="135"/>
      <c r="V35" s="133" t="str">
        <f>IF(T35="Х","Х",IF(U35&lt;3," ",IF($AC35&lt;6," ","Х")))</f>
        <v> </v>
      </c>
      <c r="W35" s="135"/>
      <c r="X35" s="133" t="str">
        <f>IF(V35="А1",$AZ$7,IF(V35="Б2",$AZ$6,IF(V35="Б1",$BA$7,IF(V35="А2",$BA$6,IF(V35="Х","Х",IF(V35&lt;6," "," "))))))</f>
        <v> </v>
      </c>
      <c r="Y35" s="136"/>
      <c r="Z35" s="133" t="str">
        <f>IF(V35="Х","Х",IF(ISBLANK(Y35),"",IF(Y35&gt;2.5," ",IF(B35=BB$6,BB$7,BB$6))))</f>
        <v/>
      </c>
      <c r="AA35" s="136"/>
      <c r="AB35" s="240" t="str">
        <f>IF(H35="Х",F$5,IF(J35="Х",H$5,IF(L35="Х",J$5,IF(N35="Х",L$5,IF(P35="Х",N$5,IF(R35="Х",P$5,IF(T35="Х",R$5,IF(X35="Х",T$5,""))))))))</f>
        <v/>
      </c>
      <c r="AC35" s="138">
        <f>SUM(G35+I35+K35+M35+O35+Q35+S35+U35+Y35+AA35)</f>
        <v>0</v>
      </c>
      <c r="AD35" s="241" t="str">
        <f>AF35</f>
        <v>1-24</v>
      </c>
      <c r="AE35" s="140" t="str">
        <f>AD35</f>
        <v>1-24</v>
      </c>
      <c r="AF35" s="141" t="str">
        <f>COUNTIF(AG$6:AG$148,"&gt;"&amp;AG$6:AG$148)+1&amp;REPT("-"&amp;COUNTIF(AG$6:AG$148,"&gt;="&amp;AG$6:AG$148),COUNTIF(AG$6:AG$148,AG35)&gt;1)</f>
        <v>1-24</v>
      </c>
      <c r="AG35" s="142">
        <f>(AR35*100)+(AP35*10)-AC35</f>
        <v>1280</v>
      </c>
      <c r="AH35" s="143" t="str">
        <f>IF(OR(F35="Х",F35="св")," ",IF(AND(G35&gt;=0,G35&lt;3),"1"," "))</f>
        <v>1</v>
      </c>
      <c r="AI35" s="90" t="str">
        <f>IF(OR(H35="Х",H35="св")," ",IF(AND(I35&gt;=0,I35&lt;3),"1"," "))</f>
        <v>1</v>
      </c>
      <c r="AJ35" s="90" t="str">
        <f>IF(OR(J35="Х",J35="св")," ",IF(AND(K35&gt;=0,K35&lt;3),"1"," "))</f>
        <v>1</v>
      </c>
      <c r="AK35" s="90" t="str">
        <f>IF(OR(L35="Х",L35="св")," ",IF(AND(M35&gt;=0,M35&lt;3),"1"," "))</f>
        <v>1</v>
      </c>
      <c r="AL35" s="90" t="str">
        <f>IF(OR(N35="Х",N35="св")," ",IF(AND(O35&gt;=0,O35&lt;3),"1"," "))</f>
        <v>1</v>
      </c>
      <c r="AM35" s="90" t="str">
        <f>IF(OR(P35="Х",P35="св")," ",IF(AND(Q35&gt;=0,Q35&lt;3),"1"," "))</f>
        <v>1</v>
      </c>
      <c r="AN35" s="90" t="str">
        <f>IF(OR(R35="Х",R35="св")," ",IF(AND(S35&gt;=0,S35&lt;3),"1"," "))</f>
        <v>1</v>
      </c>
      <c r="AO35" s="90" t="str">
        <f>IF(OR(T35="Х",T35="св")," ",IF(AND(U35&gt;=0,U35&lt;3),"1"," "))</f>
        <v>1</v>
      </c>
      <c r="AP35" s="90">
        <f>COUNTIF(AH35:AO36,1)</f>
        <v>8</v>
      </c>
      <c r="AQ35" s="90">
        <f>AG35-AC35</f>
        <v>1280</v>
      </c>
      <c r="AR35" s="144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90" t="str">
        <f>COUNTIF(AG$6:AG$134,"&gt;"&amp;AG$6:AG$134)+1&amp;REPT("-"&amp;COUNTIF(AG$6:AG$134,"&gt;="&amp;AG$6:AG$134),COUNTIF(AG$6:AG$134,AG35)&gt;1)</f>
        <v>1-24</v>
      </c>
      <c r="AT35" s="143" t="str">
        <f t="shared" ref="AT35:AW35" si="20">COUNTIF(AU$6:AU$134,"&gt;"&amp;AU$6:AU$134)+1&amp;REPT("-"&amp;COUNTIF(AU$6:AU$134,"&gt;="&amp;AU$6:AU$134),COUNTIF(AU$6:AU$134,AU35)&gt;1)</f>
        <v>1-64</v>
      </c>
      <c r="AU35" s="143" t="str">
        <f t="shared" si="20"/>
        <v>1-0</v>
      </c>
      <c r="AV35" s="143" t="str">
        <f t="shared" si="20"/>
        <v>1</v>
      </c>
      <c r="AW35" s="143" t="str">
        <f t="shared" si="20"/>
        <v>50</v>
      </c>
      <c r="AX35" s="145">
        <f>IF(X35="Х","Х",IF(Y35&lt;3,B35,"Х"))</f>
        <v>15</v>
      </c>
      <c r="AY35" s="222" t="s">
        <v>195</v>
      </c>
      <c r="AZ35" s="152"/>
      <c r="BA35" s="222" t="s">
        <v>195</v>
      </c>
      <c r="BB35" s="49"/>
      <c r="BC35" s="222" t="s">
        <v>195</v>
      </c>
      <c r="BD35" s="225"/>
      <c r="BE35" s="222" t="s">
        <v>195</v>
      </c>
      <c r="BF35" s="224"/>
      <c r="BG35" s="222" t="s">
        <v>195</v>
      </c>
      <c r="BH35" s="222" t="s">
        <v>195</v>
      </c>
      <c r="BI35" s="49"/>
      <c r="BJ35" s="49"/>
      <c r="BK35" s="49"/>
      <c r="BL35" s="49"/>
      <c r="BM35" s="195">
        <v>15.0</v>
      </c>
      <c r="BN35" s="196">
        <v>16.0</v>
      </c>
      <c r="BO35" s="153">
        <f>IF(BM35&lt;BN35,BM35,"")</f>
        <v>15</v>
      </c>
      <c r="BP35" s="196">
        <v>15.0</v>
      </c>
      <c r="BQ35" s="197"/>
      <c r="BR35" s="198">
        <v>15.0</v>
      </c>
      <c r="BS35" s="196">
        <v>13.0</v>
      </c>
      <c r="BT35" s="175" t="str">
        <f>IF(BR35&lt;BS35,BR35,"")</f>
        <v/>
      </c>
      <c r="BU35" s="196" t="s">
        <v>195</v>
      </c>
      <c r="BV35" s="196"/>
      <c r="BW35" s="199">
        <v>15.0</v>
      </c>
      <c r="BX35" s="74" t="s">
        <v>194</v>
      </c>
      <c r="BY35" s="160">
        <f t="array" ref="BY35">IF(BW35&lt;BX35,BW35,"")</f>
        <v>15</v>
      </c>
      <c r="BZ35" s="160">
        <f t="shared" si="17"/>
        <v>15</v>
      </c>
      <c r="CA35" s="74">
        <f>IFERROR(__xludf.DUMMYFUNCTION("""COMPUTED_VALUE"""),30.0)</f>
        <v>30</v>
      </c>
      <c r="CB35" s="74">
        <f t="shared" si="18"/>
        <v>30</v>
      </c>
      <c r="CC35" s="200"/>
      <c r="CD35" s="243"/>
      <c r="CE35" s="200">
        <v>15.0</v>
      </c>
      <c r="CF35" s="25" t="s">
        <v>194</v>
      </c>
      <c r="CG35" s="153">
        <f t="array" ref="CG35">IF(CE35&lt;CF35,CE35,"")</f>
        <v>15</v>
      </c>
      <c r="CH35" s="74">
        <v>15.0</v>
      </c>
      <c r="CI35" s="182">
        <f>IFERROR(__xludf.DUMMYFUNCTION("""COMPUTED_VALUE"""),30.0)</f>
        <v>30</v>
      </c>
      <c r="CJ35" s="93">
        <v>15.0</v>
      </c>
      <c r="CK35" s="233" t="s">
        <v>194</v>
      </c>
      <c r="CL35" s="153">
        <f t="array" ref="CL35">IF(CJ35&lt;CK35,CJ35,"")</f>
        <v>15</v>
      </c>
      <c r="CM35" s="49">
        <v>15.0</v>
      </c>
      <c r="CN35" s="49">
        <f>IFERROR(__xludf.DUMMYFUNCTION("""COMPUTED_VALUE"""),30.0)</f>
        <v>30</v>
      </c>
      <c r="CO35" s="74">
        <v>15.0</v>
      </c>
      <c r="CP35" s="200" t="s">
        <v>194</v>
      </c>
      <c r="CQ35" s="153">
        <f t="array" ref="CQ35">IF(CO35&lt;CP35,CO35,"")</f>
        <v>15</v>
      </c>
      <c r="CR35" s="93">
        <v>15.0</v>
      </c>
      <c r="CS35" s="234">
        <f>IFERROR(__xludf.DUMMYFUNCTION("""COMPUTED_VALUE"""),30.0)</f>
        <v>30</v>
      </c>
      <c r="CT35" s="200">
        <v>15.0</v>
      </c>
      <c r="CU35" s="74" t="s">
        <v>194</v>
      </c>
      <c r="CV35" s="153">
        <f t="array" ref="CV35">IF(CT35&lt;CU35,CT35,"")</f>
        <v>15</v>
      </c>
      <c r="CW35" s="49">
        <v>15.0</v>
      </c>
      <c r="CX35" s="49">
        <f>IFERROR(__xludf.DUMMYFUNCTION("""COMPUTED_VALUE"""),30.0)</f>
        <v>30</v>
      </c>
      <c r="CY35" s="200">
        <v>15.0</v>
      </c>
      <c r="CZ35" s="74" t="s">
        <v>194</v>
      </c>
      <c r="DA35" s="153">
        <f t="array" ref="DA35">IF(CY35&lt;CZ35,CY35,"")</f>
        <v>15</v>
      </c>
      <c r="DB35" s="49">
        <v>15.0</v>
      </c>
      <c r="DC35" s="49">
        <f>IFERROR(__xludf.DUMMYFUNCTION("""COMPUTED_VALUE"""),30.0)</f>
        <v>30</v>
      </c>
      <c r="DD35" s="49">
        <v>15.0</v>
      </c>
      <c r="DE35" s="49"/>
      <c r="DF35" s="49"/>
      <c r="DG35" s="49"/>
      <c r="DH35" s="49"/>
    </row>
    <row r="36" ht="13.5" customHeight="1">
      <c r="A36" s="118"/>
      <c r="B36" s="165"/>
      <c r="C36" s="165"/>
      <c r="D36" s="165"/>
      <c r="E36" s="165"/>
      <c r="F36" s="166"/>
      <c r="G36" s="167"/>
      <c r="H36" s="168"/>
      <c r="I36" s="167"/>
      <c r="J36" s="168"/>
      <c r="K36" s="167"/>
      <c r="L36" s="168"/>
      <c r="M36" s="167"/>
      <c r="N36" s="168"/>
      <c r="O36" s="167"/>
      <c r="P36" s="168"/>
      <c r="Q36" s="167"/>
      <c r="R36" s="168"/>
      <c r="S36" s="167"/>
      <c r="T36" s="168"/>
      <c r="U36" s="169"/>
      <c r="V36" s="168"/>
      <c r="W36" s="169"/>
      <c r="X36" s="168"/>
      <c r="Y36" s="167"/>
      <c r="Z36" s="168"/>
      <c r="AA36" s="167"/>
      <c r="AB36" s="166"/>
      <c r="AC36" s="165"/>
      <c r="AD36" s="168"/>
      <c r="AE36" s="170"/>
      <c r="AF36" s="171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Y36" s="227" t="s">
        <v>195</v>
      </c>
      <c r="AZ36" s="152"/>
      <c r="BA36" s="228" t="s">
        <v>195</v>
      </c>
      <c r="BB36" s="49"/>
      <c r="BC36" s="227" t="s">
        <v>195</v>
      </c>
      <c r="BD36" s="225"/>
      <c r="BE36" s="227" t="s">
        <v>195</v>
      </c>
      <c r="BF36" s="224"/>
      <c r="BG36" s="227" t="s">
        <v>195</v>
      </c>
      <c r="BH36" s="227" t="s">
        <v>195</v>
      </c>
      <c r="BI36" s="49"/>
      <c r="BJ36" s="49"/>
      <c r="BK36" s="49"/>
      <c r="BL36" s="49"/>
      <c r="BM36" s="178"/>
      <c r="BO36" s="175">
        <f>IF(BO35="","",BN35)</f>
        <v>16</v>
      </c>
      <c r="BP36" s="175">
        <v>16.0</v>
      </c>
      <c r="BQ36" s="197"/>
      <c r="BT36" s="175" t="str">
        <f>IF(BT35="","",BS35)</f>
        <v/>
      </c>
      <c r="BU36" s="175" t="s">
        <v>195</v>
      </c>
      <c r="BV36" s="196"/>
      <c r="BW36" s="178"/>
      <c r="BY36" s="160" t="str">
        <f>IF(BY35="","",BX35)</f>
        <v> </v>
      </c>
      <c r="BZ36" s="160" t="str">
        <f t="shared" si="17"/>
        <v> </v>
      </c>
      <c r="CA36" s="200">
        <f>IFERROR(__xludf.DUMMYFUNCTION("""COMPUTED_VALUE"""),31.0)</f>
        <v>31</v>
      </c>
      <c r="CB36" s="74">
        <f t="shared" si="18"/>
        <v>31</v>
      </c>
      <c r="CC36" s="200"/>
      <c r="CD36" s="243"/>
      <c r="CG36" s="180" t="str">
        <f>IF(CG35="","",CF35)</f>
        <v> </v>
      </c>
      <c r="CH36" s="200" t="s">
        <v>194</v>
      </c>
      <c r="CI36" s="182">
        <f>IFERROR(__xludf.DUMMYFUNCTION("""COMPUTED_VALUE"""),31.0)</f>
        <v>31</v>
      </c>
      <c r="CJ36" s="49" t="s">
        <v>195</v>
      </c>
      <c r="CK36" s="235"/>
      <c r="CL36" s="180" t="str">
        <f>IF(CL35="","",CK35)</f>
        <v> </v>
      </c>
      <c r="CM36" s="49" t="s">
        <v>194</v>
      </c>
      <c r="CN36" s="49">
        <f>IFERROR(__xludf.DUMMYFUNCTION("""COMPUTED_VALUE"""),31.0)</f>
        <v>31</v>
      </c>
      <c r="CQ36" s="180" t="str">
        <f>IF(CQ35="","",CP35)</f>
        <v> </v>
      </c>
      <c r="CR36" s="49" t="s">
        <v>194</v>
      </c>
      <c r="CS36" s="234">
        <f>IFERROR(__xludf.DUMMYFUNCTION("""COMPUTED_VALUE"""),31.0)</f>
        <v>31</v>
      </c>
      <c r="CV36" s="180" t="str">
        <f>IF(CV35="","",CU35)</f>
        <v> </v>
      </c>
      <c r="CW36" s="49" t="s">
        <v>194</v>
      </c>
      <c r="CX36" s="49">
        <f>IFERROR(__xludf.DUMMYFUNCTION("""COMPUTED_VALUE"""),31.0)</f>
        <v>31</v>
      </c>
      <c r="DA36" s="180" t="str">
        <f>IF(DA35="","",CZ35)</f>
        <v> </v>
      </c>
      <c r="DB36" s="49" t="s">
        <v>194</v>
      </c>
      <c r="DC36" s="49">
        <f>IFERROR(__xludf.DUMMYFUNCTION("""COMPUTED_VALUE"""),31.0)</f>
        <v>31</v>
      </c>
      <c r="DD36" s="49" t="s">
        <v>195</v>
      </c>
      <c r="DE36" s="49"/>
      <c r="DF36" s="49"/>
      <c r="DG36" s="49"/>
      <c r="DH36" s="49"/>
    </row>
    <row r="37" ht="13.5" customHeight="1">
      <c r="A37" s="118"/>
      <c r="B37" s="187">
        <v>16.0</v>
      </c>
      <c r="C37" s="188" t="str">
        <f>(VLOOKUP($B37,'Пр.взв'!$D$6:$J$63,2,0))</f>
        <v>КАПУСТЯН Виктория</v>
      </c>
      <c r="D37" s="189" t="str">
        <f>(VLOOKUP($B37,'Пр.взв'!$D$6:$J$63,5,0))</f>
        <v>2р</v>
      </c>
      <c r="E37" s="190" t="str">
        <f>(VLOOKUP($B37,'Пр.взв'!$D$6:$M$63,8,0))</f>
        <v>Хабаровский</v>
      </c>
      <c r="F37" s="130">
        <v>15.0</v>
      </c>
      <c r="G37" s="131"/>
      <c r="H37" s="132">
        <v>14.0</v>
      </c>
      <c r="I37" s="131"/>
      <c r="J37" s="133" t="str">
        <f>IF(H37="Х","Х",IF($AC37&lt;6," ","Х"))</f>
        <v> </v>
      </c>
      <c r="K37" s="134"/>
      <c r="L37" s="133" t="str">
        <f>IF(J37="Х","Х",IF(K37&lt;3," ",IF($AC37&lt;6," ","Х")))</f>
        <v> </v>
      </c>
      <c r="M37" s="134"/>
      <c r="N37" s="133" t="str">
        <f>IF(L37="Х","Х",IF(M37&lt;3," ",IF($AC37&lt;6," ","Х")))</f>
        <v> </v>
      </c>
      <c r="O37" s="134"/>
      <c r="P37" s="133" t="str">
        <f>IF(N37="Х","Х",IF(O37&lt;3," ",IF($AC37&lt;6," ","Х")))</f>
        <v> </v>
      </c>
      <c r="Q37" s="134"/>
      <c r="R37" s="133" t="str">
        <f>IF(P37="Х","Х",IF(Q37&lt;3," ",IF($AC37&lt;6," ","Х")))</f>
        <v> </v>
      </c>
      <c r="S37" s="134"/>
      <c r="T37" s="133" t="str">
        <f>IF(R37="Х","Х",IF(S37&lt;3," ",IF($AC37&lt;6," ","Х")))</f>
        <v> </v>
      </c>
      <c r="U37" s="135"/>
      <c r="V37" s="133" t="str">
        <f>IF(T37="Х","Х",IF(U37&lt;3," ",IF($AC37&lt;6," ","Х")))</f>
        <v> </v>
      </c>
      <c r="W37" s="135"/>
      <c r="X37" s="133" t="str">
        <f>IF(V37="А1",$AZ$7,IF(V37="Б2",$AZ$6,IF(V37="Б1",$BA$7,IF(V37="А2",$BA$6,IF(V37="Х","Х",IF(V37&lt;6," "," "))))))</f>
        <v> </v>
      </c>
      <c r="Y37" s="136"/>
      <c r="Z37" s="133" t="str">
        <f>IF(V37="Х","Х",IF(ISBLANK(Y37),"",IF(Y37&gt;2.5," ",IF(B37=BB$6,BB$7,BB$6))))</f>
        <v/>
      </c>
      <c r="AA37" s="136"/>
      <c r="AB37" s="240" t="str">
        <f>IF(H37="Х",F$5,IF(J37="Х",H$5,IF(L37="Х",J$5,IF(N37="Х",L$5,IF(P37="Х",N$5,IF(R37="Х",P$5,IF(T37="Х",R$5,IF(X37="Х",T$5,""))))))))</f>
        <v/>
      </c>
      <c r="AC37" s="138">
        <f>SUM(G37+I37+K37+M37+O37+Q37+S37+U37+Y37+AA37)</f>
        <v>0</v>
      </c>
      <c r="AD37" s="241" t="str">
        <f>AF37</f>
        <v>1-24</v>
      </c>
      <c r="AE37" s="140" t="str">
        <f>AD37</f>
        <v>1-24</v>
      </c>
      <c r="AF37" s="141" t="str">
        <f>COUNTIF(AG$6:AG$148,"&gt;"&amp;AG$6:AG$148)+1&amp;REPT("-"&amp;COUNTIF(AG$6:AG$148,"&gt;="&amp;AG$6:AG$148),COUNTIF(AG$6:AG$148,AG37)&gt;1)</f>
        <v>1-24</v>
      </c>
      <c r="AG37" s="142">
        <f>(AR37*100)+(AP37*10)-AC37</f>
        <v>1280</v>
      </c>
      <c r="AH37" s="143" t="str">
        <f>IF(OR(F37="Х",F37="св")," ",IF(AND(G37&gt;=0,G37&lt;3),"1"," "))</f>
        <v>1</v>
      </c>
      <c r="AI37" s="90" t="str">
        <f>IF(OR(H37="Х",H37="св")," ",IF(AND(I37&gt;=0,I37&lt;3),"1"," "))</f>
        <v>1</v>
      </c>
      <c r="AJ37" s="90" t="str">
        <f>IF(OR(J37="Х",J37="св")," ",IF(AND(K37&gt;=0,K37&lt;3),"1"," "))</f>
        <v>1</v>
      </c>
      <c r="AK37" s="90" t="str">
        <f>IF(OR(L37="Х",L37="св")," ",IF(AND(M37&gt;=0,M37&lt;3),"1"," "))</f>
        <v>1</v>
      </c>
      <c r="AL37" s="90" t="str">
        <f>IF(OR(N37="Х",N37="св")," ",IF(AND(O37&gt;=0,O37&lt;3),"1"," "))</f>
        <v>1</v>
      </c>
      <c r="AM37" s="90" t="str">
        <f>IF(OR(P37="Х",P37="св")," ",IF(AND(Q37&gt;=0,Q37&lt;3),"1"," "))</f>
        <v>1</v>
      </c>
      <c r="AN37" s="90" t="str">
        <f>IF(OR(R37="Х",R37="св")," ",IF(AND(S37&gt;=0,S37&lt;3),"1"," "))</f>
        <v>1</v>
      </c>
      <c r="AO37" s="90" t="str">
        <f>IF(OR(T37="Х",T37="св")," ",IF(AND(U37&gt;=0,U37&lt;3),"1"," "))</f>
        <v>1</v>
      </c>
      <c r="AP37" s="90">
        <f>COUNTIF(AH37:AO38,1)</f>
        <v>8</v>
      </c>
      <c r="AQ37" s="90">
        <f>AG37-AC37</f>
        <v>1280</v>
      </c>
      <c r="AR37" s="144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90" t="str">
        <f>COUNTIF(AG$6:AG$134,"&gt;"&amp;AG$6:AG$134)+1&amp;REPT("-"&amp;COUNTIF(AG$6:AG$134,"&gt;="&amp;AG$6:AG$134),COUNTIF(AG$6:AG$134,AG37)&gt;1)</f>
        <v>1-24</v>
      </c>
      <c r="AT37" s="143" t="str">
        <f t="shared" ref="AT37:AW37" si="21">COUNTIF(AU$6:AU$134,"&gt;"&amp;AU$6:AU$134)+1&amp;REPT("-"&amp;COUNTIF(AU$6:AU$134,"&gt;="&amp;AU$6:AU$134),COUNTIF(AU$6:AU$134,AU37)&gt;1)</f>
        <v>1-64</v>
      </c>
      <c r="AU37" s="143" t="str">
        <f t="shared" si="21"/>
        <v>1-0</v>
      </c>
      <c r="AV37" s="143" t="str">
        <f t="shared" si="21"/>
        <v>1</v>
      </c>
      <c r="AW37" s="143" t="str">
        <f t="shared" si="21"/>
        <v>49</v>
      </c>
      <c r="AX37" s="145">
        <f>IF(X37="Х","Х",IF(Y37&lt;3,B37,"Х"))</f>
        <v>16</v>
      </c>
      <c r="AY37" s="222" t="s">
        <v>195</v>
      </c>
      <c r="AZ37" s="152"/>
      <c r="BA37" s="222" t="s">
        <v>195</v>
      </c>
      <c r="BB37" s="146"/>
      <c r="BC37" s="222" t="s">
        <v>195</v>
      </c>
      <c r="BD37" s="225"/>
      <c r="BE37" s="222" t="s">
        <v>195</v>
      </c>
      <c r="BF37" s="224"/>
      <c r="BG37" s="222" t="s">
        <v>195</v>
      </c>
      <c r="BH37" s="222" t="s">
        <v>195</v>
      </c>
      <c r="BI37" s="49"/>
      <c r="BJ37" s="49"/>
      <c r="BK37" s="49"/>
      <c r="BL37" s="49"/>
      <c r="BM37" s="195">
        <v>16.0</v>
      </c>
      <c r="BN37" s="196">
        <v>15.0</v>
      </c>
      <c r="BO37" s="153" t="str">
        <f>IF(BM37&lt;BN37,BM37,"")</f>
        <v/>
      </c>
      <c r="BP37" s="196" t="s">
        <v>195</v>
      </c>
      <c r="BQ37" s="197"/>
      <c r="BR37" s="198">
        <v>16.0</v>
      </c>
      <c r="BS37" s="196">
        <v>14.0</v>
      </c>
      <c r="BT37" s="175" t="str">
        <f>IF(BR37&lt;BS37,BR37,"")</f>
        <v/>
      </c>
      <c r="BU37" s="196" t="s">
        <v>195</v>
      </c>
      <c r="BV37" s="196"/>
      <c r="BW37" s="199">
        <v>16.0</v>
      </c>
      <c r="BX37" s="74" t="s">
        <v>194</v>
      </c>
      <c r="BY37" s="160">
        <f t="array" ref="BY37">IF(BW37&lt;BX37,BW37,"")</f>
        <v>16</v>
      </c>
      <c r="BZ37" s="160">
        <f t="shared" si="17"/>
        <v>16</v>
      </c>
      <c r="CA37" s="74">
        <f>IFERROR(__xludf.DUMMYFUNCTION("""COMPUTED_VALUE"""),32.0)</f>
        <v>32</v>
      </c>
      <c r="CB37" s="74">
        <f t="shared" si="18"/>
        <v>32</v>
      </c>
      <c r="CC37" s="200"/>
      <c r="CD37" s="243"/>
      <c r="CE37" s="200">
        <v>16.0</v>
      </c>
      <c r="CF37" s="25" t="s">
        <v>194</v>
      </c>
      <c r="CG37" s="153">
        <f t="array" ref="CG37">IF(CE37&lt;CF37,CE37,"")</f>
        <v>16</v>
      </c>
      <c r="CH37" s="74">
        <v>16.0</v>
      </c>
      <c r="CI37" s="182">
        <f>IFERROR(__xludf.DUMMYFUNCTION("""COMPUTED_VALUE"""),32.0)</f>
        <v>32</v>
      </c>
      <c r="CJ37" s="93">
        <v>16.0</v>
      </c>
      <c r="CK37" s="233" t="s">
        <v>194</v>
      </c>
      <c r="CL37" s="153">
        <f t="array" ref="CL37">IF(CJ37&lt;CK37,CJ37,"")</f>
        <v>16</v>
      </c>
      <c r="CM37" s="49">
        <v>16.0</v>
      </c>
      <c r="CN37" s="49">
        <f>IFERROR(__xludf.DUMMYFUNCTION("""COMPUTED_VALUE"""),32.0)</f>
        <v>32</v>
      </c>
      <c r="CO37" s="74">
        <v>16.0</v>
      </c>
      <c r="CP37" s="200" t="s">
        <v>194</v>
      </c>
      <c r="CQ37" s="153">
        <f t="array" ref="CQ37">IF(CO37&lt;CP37,CO37,"")</f>
        <v>16</v>
      </c>
      <c r="CR37" s="93">
        <v>16.0</v>
      </c>
      <c r="CS37" s="234">
        <f>IFERROR(__xludf.DUMMYFUNCTION("""COMPUTED_VALUE"""),32.0)</f>
        <v>32</v>
      </c>
      <c r="CT37" s="200">
        <v>16.0</v>
      </c>
      <c r="CU37" s="74" t="s">
        <v>194</v>
      </c>
      <c r="CV37" s="153">
        <f t="array" ref="CV37">IF(CT37&lt;CU37,CT37,"")</f>
        <v>16</v>
      </c>
      <c r="CW37" s="49">
        <v>16.0</v>
      </c>
      <c r="CX37" s="49">
        <f>IFERROR(__xludf.DUMMYFUNCTION("""COMPUTED_VALUE"""),32.0)</f>
        <v>32</v>
      </c>
      <c r="CY37" s="200">
        <v>16.0</v>
      </c>
      <c r="CZ37" s="74" t="s">
        <v>194</v>
      </c>
      <c r="DA37" s="153">
        <f t="array" ref="DA37">IF(CY37&lt;CZ37,CY37,"")</f>
        <v>16</v>
      </c>
      <c r="DB37" s="49">
        <v>16.0</v>
      </c>
      <c r="DC37" s="49">
        <f>IFERROR(__xludf.DUMMYFUNCTION("""COMPUTED_VALUE"""),32.0)</f>
        <v>32</v>
      </c>
      <c r="DD37" s="49">
        <v>16.0</v>
      </c>
      <c r="DE37" s="49"/>
      <c r="DF37" s="49"/>
      <c r="DG37" s="49"/>
      <c r="DH37" s="49"/>
    </row>
    <row r="38" ht="13.5" customHeight="1">
      <c r="A38" s="118"/>
      <c r="B38" s="165"/>
      <c r="C38" s="165"/>
      <c r="D38" s="165"/>
      <c r="E38" s="165"/>
      <c r="F38" s="166"/>
      <c r="G38" s="167"/>
      <c r="H38" s="168"/>
      <c r="I38" s="167"/>
      <c r="J38" s="168"/>
      <c r="K38" s="167"/>
      <c r="L38" s="168"/>
      <c r="M38" s="167"/>
      <c r="N38" s="168"/>
      <c r="O38" s="167"/>
      <c r="P38" s="168"/>
      <c r="Q38" s="167"/>
      <c r="R38" s="168"/>
      <c r="S38" s="167"/>
      <c r="T38" s="168"/>
      <c r="U38" s="169"/>
      <c r="V38" s="168"/>
      <c r="W38" s="169"/>
      <c r="X38" s="168"/>
      <c r="Y38" s="167"/>
      <c r="Z38" s="168"/>
      <c r="AA38" s="167"/>
      <c r="AB38" s="166"/>
      <c r="AC38" s="165"/>
      <c r="AD38" s="168"/>
      <c r="AE38" s="170"/>
      <c r="AF38" s="171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Y38" s="227" t="s">
        <v>195</v>
      </c>
      <c r="AZ38" s="152"/>
      <c r="BA38" s="228" t="s">
        <v>195</v>
      </c>
      <c r="BB38" s="146"/>
      <c r="BC38" s="227" t="s">
        <v>195</v>
      </c>
      <c r="BD38" s="225"/>
      <c r="BE38" s="227" t="s">
        <v>195</v>
      </c>
      <c r="BF38" s="224"/>
      <c r="BG38" s="227" t="s">
        <v>195</v>
      </c>
      <c r="BH38" s="227" t="s">
        <v>195</v>
      </c>
      <c r="BI38" s="49"/>
      <c r="BJ38" s="49"/>
      <c r="BK38" s="49"/>
      <c r="BL38" s="49"/>
      <c r="BM38" s="178"/>
      <c r="BO38" s="175" t="str">
        <f>IF(BO37="","",BN37)</f>
        <v/>
      </c>
      <c r="BP38" s="175" t="s">
        <v>195</v>
      </c>
      <c r="BQ38" s="197"/>
      <c r="BT38" s="175" t="str">
        <f>IF(BT37="","",BS37)</f>
        <v/>
      </c>
      <c r="BU38" s="175" t="s">
        <v>195</v>
      </c>
      <c r="BV38" s="196"/>
      <c r="BW38" s="178"/>
      <c r="BY38" s="160" t="str">
        <f>IF(BY37="","",BX37)</f>
        <v> </v>
      </c>
      <c r="BZ38" s="160" t="str">
        <f t="shared" si="17"/>
        <v> </v>
      </c>
      <c r="CA38" s="200">
        <f>IFERROR(__xludf.DUMMYFUNCTION("""COMPUTED_VALUE"""),33.0)</f>
        <v>33</v>
      </c>
      <c r="CB38" s="74">
        <f t="shared" si="18"/>
        <v>33</v>
      </c>
      <c r="CC38" s="200"/>
      <c r="CD38" s="243"/>
      <c r="CG38" s="180" t="str">
        <f>IF(CG37="","",CF37)</f>
        <v> </v>
      </c>
      <c r="CH38" s="200" t="s">
        <v>194</v>
      </c>
      <c r="CI38" s="182">
        <f>IFERROR(__xludf.DUMMYFUNCTION("""COMPUTED_VALUE"""),33.0)</f>
        <v>33</v>
      </c>
      <c r="CJ38" s="49" t="s">
        <v>195</v>
      </c>
      <c r="CK38" s="235"/>
      <c r="CL38" s="180" t="str">
        <f>IF(CL37="","",CK37)</f>
        <v> </v>
      </c>
      <c r="CM38" s="49" t="s">
        <v>194</v>
      </c>
      <c r="CN38" s="49">
        <f>IFERROR(__xludf.DUMMYFUNCTION("""COMPUTED_VALUE"""),33.0)</f>
        <v>33</v>
      </c>
      <c r="CQ38" s="180" t="str">
        <f>IF(CQ37="","",CP37)</f>
        <v> </v>
      </c>
      <c r="CR38" s="49" t="s">
        <v>194</v>
      </c>
      <c r="CS38" s="234">
        <f>IFERROR(__xludf.DUMMYFUNCTION("""COMPUTED_VALUE"""),33.0)</f>
        <v>33</v>
      </c>
      <c r="CV38" s="180" t="str">
        <f>IF(CV37="","",CU37)</f>
        <v> </v>
      </c>
      <c r="CW38" s="49" t="s">
        <v>194</v>
      </c>
      <c r="CX38" s="49">
        <f>IFERROR(__xludf.DUMMYFUNCTION("""COMPUTED_VALUE"""),33.0)</f>
        <v>33</v>
      </c>
      <c r="DA38" s="180" t="str">
        <f>IF(DA37="","",CZ37)</f>
        <v> </v>
      </c>
      <c r="DB38" s="49" t="s">
        <v>194</v>
      </c>
      <c r="DC38" s="49">
        <f>IFERROR(__xludf.DUMMYFUNCTION("""COMPUTED_VALUE"""),33.0)</f>
        <v>33</v>
      </c>
      <c r="DD38" s="49" t="s">
        <v>195</v>
      </c>
      <c r="DE38" s="49"/>
      <c r="DF38" s="49"/>
      <c r="DG38" s="49"/>
      <c r="DH38" s="49"/>
    </row>
    <row r="39" ht="13.5" customHeight="1">
      <c r="A39" s="118"/>
      <c r="B39" s="187">
        <v>17.0</v>
      </c>
      <c r="C39" s="188" t="str">
        <f>(VLOOKUP($B39,'Пр.взв'!$D$6:$J$63,2,0))</f>
        <v>ТЕПУКОВА Камила</v>
      </c>
      <c r="D39" s="189" t="str">
        <f>(VLOOKUP($B39,'Пр.взв'!$D$6:$J$63,5,0))</f>
        <v>КМС</v>
      </c>
      <c r="E39" s="190" t="str">
        <f>(VLOOKUP($B39,'Пр.взв'!$D$6:$M$63,8,0))</f>
        <v>Р.Алтай</v>
      </c>
      <c r="F39" s="130">
        <v>18.0</v>
      </c>
      <c r="G39" s="131"/>
      <c r="H39" s="132">
        <v>19.0</v>
      </c>
      <c r="I39" s="131"/>
      <c r="J39" s="133" t="str">
        <f>IF(H39="Х","Х",IF($AC39&lt;6," ","Х"))</f>
        <v> </v>
      </c>
      <c r="K39" s="134"/>
      <c r="L39" s="133" t="str">
        <f>IF(J39="Х","Х",IF(K39&lt;3," ",IF($AC39&lt;6," ","Х")))</f>
        <v> </v>
      </c>
      <c r="M39" s="134"/>
      <c r="N39" s="133" t="str">
        <f>IF(L39="Х","Х",IF(M39&lt;3," ",IF($AC39&lt;6," ","Х")))</f>
        <v> </v>
      </c>
      <c r="O39" s="134"/>
      <c r="P39" s="133" t="str">
        <f>IF(N39="Х","Х",IF(O39&lt;3," ",IF($AC39&lt;6," ","Х")))</f>
        <v> </v>
      </c>
      <c r="Q39" s="134"/>
      <c r="R39" s="133" t="str">
        <f>IF(P39="Х","Х",IF(Q39&lt;3," ",IF($AC39&lt;6," ","Х")))</f>
        <v> </v>
      </c>
      <c r="S39" s="134"/>
      <c r="T39" s="133" t="str">
        <f>IF(R39="Х","Х",IF(S39&lt;3," ",IF($AC39&lt;6," ","Х")))</f>
        <v> </v>
      </c>
      <c r="U39" s="135"/>
      <c r="V39" s="133" t="str">
        <f>IF(T39="Х","Х",IF(U39&lt;3," ",IF($AC39&lt;6," ","Х")))</f>
        <v> </v>
      </c>
      <c r="W39" s="135"/>
      <c r="X39" s="133" t="str">
        <f>IF(V39="А1",$AZ$7,IF(V39="Б2",$AZ$6,IF(V39="Б1",$BA$7,IF(V39="А2",$BA$6,IF(V39="Х","Х",IF(V39&lt;6," "," "))))))</f>
        <v> </v>
      </c>
      <c r="Y39" s="136"/>
      <c r="Z39" s="133" t="str">
        <f>IF(V39="Х","Х",IF(ISBLANK(Y39),"",IF(Y39&gt;2.5," ",IF(B39=BB$6,BB$7,BB$6))))</f>
        <v/>
      </c>
      <c r="AA39" s="136"/>
      <c r="AB39" s="240" t="str">
        <f>IF(H39="Х",F$5,IF(J39="Х",H$5,IF(L39="Х",J$5,IF(N39="Х",L$5,IF(P39="Х",N$5,IF(R39="Х",P$5,IF(T39="Х",R$5,IF(X39="Х",T$5,""))))))))</f>
        <v/>
      </c>
      <c r="AC39" s="138">
        <f>SUM(G39+I39+K39+M39+O39+Q39+S39+U39+Y39+AA39)</f>
        <v>0</v>
      </c>
      <c r="AD39" s="241" t="str">
        <f>AF39</f>
        <v>1-24</v>
      </c>
      <c r="AE39" s="140" t="str">
        <f>AD39</f>
        <v>1-24</v>
      </c>
      <c r="AF39" s="141" t="str">
        <f>COUNTIF(AG$6:AG$148,"&gt;"&amp;AG$6:AG$148)+1&amp;REPT("-"&amp;COUNTIF(AG$6:AG$148,"&gt;="&amp;AG$6:AG$148),COUNTIF(AG$6:AG$148,AG39)&gt;1)</f>
        <v>1-24</v>
      </c>
      <c r="AG39" s="142">
        <f>(AR39*100)+(AP39*10)-AC39</f>
        <v>1280</v>
      </c>
      <c r="AH39" s="143" t="str">
        <f>IF(OR(F39="Х",F39="св")," ",IF(AND(G39&gt;=0,G39&lt;3),"1"," "))</f>
        <v>1</v>
      </c>
      <c r="AI39" s="90" t="str">
        <f>IF(OR(H39="Х",H39="св")," ",IF(AND(I39&gt;=0,I39&lt;3),"1"," "))</f>
        <v>1</v>
      </c>
      <c r="AJ39" s="90" t="str">
        <f>IF(OR(J39="Х",J39="св")," ",IF(AND(K39&gt;=0,K39&lt;3),"1"," "))</f>
        <v>1</v>
      </c>
      <c r="AK39" s="90" t="str">
        <f>IF(OR(L39="Х",L39="св")," ",IF(AND(M39&gt;=0,M39&lt;3),"1"," "))</f>
        <v>1</v>
      </c>
      <c r="AL39" s="90" t="str">
        <f>IF(OR(N39="Х",N39="св")," ",IF(AND(O39&gt;=0,O39&lt;3),"1"," "))</f>
        <v>1</v>
      </c>
      <c r="AM39" s="90" t="str">
        <f>IF(OR(P39="Х",P39="св")," ",IF(AND(Q39&gt;=0,Q39&lt;3),"1"," "))</f>
        <v>1</v>
      </c>
      <c r="AN39" s="90" t="str">
        <f>IF(OR(R39="Х",R39="св")," ",IF(AND(S39&gt;=0,S39&lt;3),"1"," "))</f>
        <v>1</v>
      </c>
      <c r="AO39" s="90" t="str">
        <f>IF(OR(T39="Х",T39="св")," ",IF(AND(U39&gt;=0,U39&lt;3),"1"," "))</f>
        <v>1</v>
      </c>
      <c r="AP39" s="90">
        <f>COUNTIF(AH39:AO40,1)</f>
        <v>8</v>
      </c>
      <c r="AQ39" s="90">
        <f>AG39-AC39</f>
        <v>1280</v>
      </c>
      <c r="AR39" s="144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90" t="str">
        <f>COUNTIF(AG$6:AG$134,"&gt;"&amp;AG$6:AG$134)+1&amp;REPT("-"&amp;COUNTIF(AG$6:AG$134,"&gt;="&amp;AG$6:AG$134),COUNTIF(AG$6:AG$134,AG39)&gt;1)</f>
        <v>1-24</v>
      </c>
      <c r="AT39" s="143" t="str">
        <f t="shared" ref="AT39:AW39" si="22">COUNTIF(AU$6:AU$134,"&gt;"&amp;AU$6:AU$134)+1&amp;REPT("-"&amp;COUNTIF(AU$6:AU$134,"&gt;="&amp;AU$6:AU$134),COUNTIF(AU$6:AU$134,AU39)&gt;1)</f>
        <v>1-64</v>
      </c>
      <c r="AU39" s="143" t="str">
        <f t="shared" si="22"/>
        <v>1-0</v>
      </c>
      <c r="AV39" s="143" t="str">
        <f t="shared" si="22"/>
        <v>1</v>
      </c>
      <c r="AW39" s="143" t="str">
        <f t="shared" si="22"/>
        <v>48</v>
      </c>
      <c r="AX39" s="145">
        <f>IF(X39="Х","Х",IF(Y39&lt;3,B39,"Х"))</f>
        <v>17</v>
      </c>
      <c r="AY39" s="222" t="s">
        <v>195</v>
      </c>
      <c r="AZ39" s="152"/>
      <c r="BA39" s="222" t="s">
        <v>195</v>
      </c>
      <c r="BB39" s="146"/>
      <c r="BC39" s="49" t="s">
        <v>195</v>
      </c>
      <c r="BD39" s="225"/>
      <c r="BE39" s="49" t="s">
        <v>195</v>
      </c>
      <c r="BF39" s="224"/>
      <c r="BG39" s="222" t="s">
        <v>195</v>
      </c>
      <c r="BH39" s="222" t="s">
        <v>195</v>
      </c>
      <c r="BI39" s="49"/>
      <c r="BJ39" s="49"/>
      <c r="BK39" s="49"/>
      <c r="BL39" s="49"/>
      <c r="BM39" s="195">
        <v>17.0</v>
      </c>
      <c r="BN39" s="196">
        <v>18.0</v>
      </c>
      <c r="BO39" s="153">
        <f>IF(BM39&lt;BN39,BM39,"")</f>
        <v>17</v>
      </c>
      <c r="BP39" s="196">
        <v>17.0</v>
      </c>
      <c r="BQ39" s="197"/>
      <c r="BR39" s="198">
        <v>17.0</v>
      </c>
      <c r="BS39" s="196">
        <v>19.0</v>
      </c>
      <c r="BT39" s="175">
        <f>IF(BR39&lt;BS39,BR39,"")</f>
        <v>17</v>
      </c>
      <c r="BU39" s="196">
        <v>17.0</v>
      </c>
      <c r="BV39" s="196"/>
      <c r="BW39" s="199">
        <v>17.0</v>
      </c>
      <c r="BX39" s="74" t="s">
        <v>194</v>
      </c>
      <c r="BY39" s="160">
        <f t="array" ref="BY39">IF(BW39&lt;BX39,BW39,"")</f>
        <v>17</v>
      </c>
      <c r="BZ39" s="160">
        <f t="shared" si="17"/>
        <v>17</v>
      </c>
      <c r="CA39" s="74">
        <f>IFERROR(__xludf.DUMMYFUNCTION("""COMPUTED_VALUE"""),34.0)</f>
        <v>34</v>
      </c>
      <c r="CB39" s="74">
        <f t="shared" si="18"/>
        <v>34</v>
      </c>
      <c r="CC39" s="200"/>
      <c r="CD39" s="243"/>
      <c r="CE39" s="200">
        <v>17.0</v>
      </c>
      <c r="CF39" s="25" t="s">
        <v>194</v>
      </c>
      <c r="CG39" s="153">
        <f t="array" ref="CG39">IF(CE39&lt;CF39,CE39,"")</f>
        <v>17</v>
      </c>
      <c r="CH39" s="74">
        <v>17.0</v>
      </c>
      <c r="CI39" s="182">
        <f>IFERROR(__xludf.DUMMYFUNCTION("""COMPUTED_VALUE"""),34.0)</f>
        <v>34</v>
      </c>
      <c r="CJ39" s="93">
        <v>17.0</v>
      </c>
      <c r="CK39" s="233" t="s">
        <v>194</v>
      </c>
      <c r="CL39" s="153">
        <f t="array" ref="CL39">IF(CJ39&lt;CK39,CJ39,"")</f>
        <v>17</v>
      </c>
      <c r="CM39" s="49">
        <v>17.0</v>
      </c>
      <c r="CN39" s="49">
        <f>IFERROR(__xludf.DUMMYFUNCTION("""COMPUTED_VALUE"""),34.0)</f>
        <v>34</v>
      </c>
      <c r="CO39" s="74">
        <v>17.0</v>
      </c>
      <c r="CP39" s="200" t="s">
        <v>194</v>
      </c>
      <c r="CQ39" s="153">
        <f t="array" ref="CQ39">IF(CO39&lt;CP39,CO39,"")</f>
        <v>17</v>
      </c>
      <c r="CR39" s="93">
        <v>17.0</v>
      </c>
      <c r="CS39" s="234">
        <f>IFERROR(__xludf.DUMMYFUNCTION("""COMPUTED_VALUE"""),34.0)</f>
        <v>34</v>
      </c>
      <c r="CT39" s="200">
        <v>17.0</v>
      </c>
      <c r="CU39" s="74" t="s">
        <v>194</v>
      </c>
      <c r="CV39" s="153">
        <f t="array" ref="CV39">IF(CT39&lt;CU39,CT39,"")</f>
        <v>17</v>
      </c>
      <c r="CW39" s="49">
        <v>17.0</v>
      </c>
      <c r="CX39" s="49">
        <f>IFERROR(__xludf.DUMMYFUNCTION("""COMPUTED_VALUE"""),34.0)</f>
        <v>34</v>
      </c>
      <c r="CY39" s="200">
        <v>17.0</v>
      </c>
      <c r="CZ39" s="74" t="s">
        <v>194</v>
      </c>
      <c r="DA39" s="153">
        <f t="array" ref="DA39">IF(CY39&lt;CZ39,CY39,"")</f>
        <v>17</v>
      </c>
      <c r="DB39" s="49">
        <v>17.0</v>
      </c>
      <c r="DC39" s="49">
        <f>IFERROR(__xludf.DUMMYFUNCTION("""COMPUTED_VALUE"""),34.0)</f>
        <v>34</v>
      </c>
      <c r="DD39" s="49">
        <v>17.0</v>
      </c>
      <c r="DE39" s="49"/>
      <c r="DF39" s="49"/>
      <c r="DG39" s="49"/>
      <c r="DH39" s="49"/>
    </row>
    <row r="40" ht="13.5" customHeight="1">
      <c r="A40" s="118"/>
      <c r="B40" s="165"/>
      <c r="C40" s="165"/>
      <c r="D40" s="165"/>
      <c r="E40" s="165"/>
      <c r="F40" s="166"/>
      <c r="G40" s="167"/>
      <c r="H40" s="168"/>
      <c r="I40" s="167"/>
      <c r="J40" s="168"/>
      <c r="K40" s="167"/>
      <c r="L40" s="168"/>
      <c r="M40" s="167"/>
      <c r="N40" s="168"/>
      <c r="O40" s="167"/>
      <c r="P40" s="168"/>
      <c r="Q40" s="167"/>
      <c r="R40" s="168"/>
      <c r="S40" s="167"/>
      <c r="T40" s="168"/>
      <c r="U40" s="169"/>
      <c r="V40" s="168"/>
      <c r="W40" s="169"/>
      <c r="X40" s="168"/>
      <c r="Y40" s="167"/>
      <c r="Z40" s="168"/>
      <c r="AA40" s="167"/>
      <c r="AB40" s="166"/>
      <c r="AC40" s="165"/>
      <c r="AD40" s="168"/>
      <c r="AE40" s="170"/>
      <c r="AF40" s="171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Y40" s="227" t="s">
        <v>195</v>
      </c>
      <c r="AZ40" s="152"/>
      <c r="BA40" s="228" t="s">
        <v>195</v>
      </c>
      <c r="BB40" s="146"/>
      <c r="BC40" s="49" t="s">
        <v>195</v>
      </c>
      <c r="BD40" s="225"/>
      <c r="BE40" s="49" t="s">
        <v>195</v>
      </c>
      <c r="BF40" s="224"/>
      <c r="BG40" s="227" t="s">
        <v>195</v>
      </c>
      <c r="BH40" s="227" t="s">
        <v>195</v>
      </c>
      <c r="BI40" s="49"/>
      <c r="BJ40" s="49"/>
      <c r="BK40" s="49"/>
      <c r="BL40" s="49"/>
      <c r="BM40" s="178"/>
      <c r="BO40" s="175">
        <f>IF(BO39="","",BN39)</f>
        <v>18</v>
      </c>
      <c r="BP40" s="175">
        <v>18.0</v>
      </c>
      <c r="BQ40" s="197"/>
      <c r="BT40" s="175">
        <f>IF(BT39="","",BS39)</f>
        <v>19</v>
      </c>
      <c r="BU40" s="175">
        <v>19.0</v>
      </c>
      <c r="BV40" s="196"/>
      <c r="BW40" s="178"/>
      <c r="BY40" s="160" t="str">
        <f>IF(BY39="","",BX39)</f>
        <v> </v>
      </c>
      <c r="BZ40" s="160" t="str">
        <f t="shared" si="17"/>
        <v> </v>
      </c>
      <c r="CA40" s="200">
        <f>IFERROR(__xludf.DUMMYFUNCTION("""COMPUTED_VALUE"""),35.0)</f>
        <v>35</v>
      </c>
      <c r="CB40" s="74">
        <f t="shared" si="18"/>
        <v>35</v>
      </c>
      <c r="CC40" s="200"/>
      <c r="CD40" s="243"/>
      <c r="CG40" s="180" t="str">
        <f>IF(CG39="","",CF39)</f>
        <v> </v>
      </c>
      <c r="CH40" s="200" t="s">
        <v>194</v>
      </c>
      <c r="CI40" s="182">
        <f>IFERROR(__xludf.DUMMYFUNCTION("""COMPUTED_VALUE"""),35.0)</f>
        <v>35</v>
      </c>
      <c r="CJ40" s="49" t="s">
        <v>195</v>
      </c>
      <c r="CK40" s="235"/>
      <c r="CL40" s="180" t="str">
        <f>IF(CL39="","",CK39)</f>
        <v> </v>
      </c>
      <c r="CM40" s="49" t="s">
        <v>194</v>
      </c>
      <c r="CN40" s="49">
        <f>IFERROR(__xludf.DUMMYFUNCTION("""COMPUTED_VALUE"""),35.0)</f>
        <v>35</v>
      </c>
      <c r="CQ40" s="180" t="str">
        <f>IF(CQ39="","",CP39)</f>
        <v> </v>
      </c>
      <c r="CR40" s="49" t="s">
        <v>194</v>
      </c>
      <c r="CS40" s="234">
        <f>IFERROR(__xludf.DUMMYFUNCTION("""COMPUTED_VALUE"""),35.0)</f>
        <v>35</v>
      </c>
      <c r="CV40" s="180" t="str">
        <f>IF(CV39="","",CU39)</f>
        <v> </v>
      </c>
      <c r="CW40" s="49" t="s">
        <v>194</v>
      </c>
      <c r="CX40" s="49">
        <f>IFERROR(__xludf.DUMMYFUNCTION("""COMPUTED_VALUE"""),35.0)</f>
        <v>35</v>
      </c>
      <c r="DA40" s="180" t="str">
        <f>IF(DA39="","",CZ39)</f>
        <v> </v>
      </c>
      <c r="DB40" s="49" t="s">
        <v>194</v>
      </c>
      <c r="DC40" s="49">
        <f>IFERROR(__xludf.DUMMYFUNCTION("""COMPUTED_VALUE"""),35.0)</f>
        <v>35</v>
      </c>
      <c r="DD40" s="49" t="s">
        <v>195</v>
      </c>
      <c r="DE40" s="49"/>
      <c r="DF40" s="49"/>
      <c r="DG40" s="49"/>
      <c r="DH40" s="49"/>
    </row>
    <row r="41" ht="13.5" customHeight="1">
      <c r="A41" s="118"/>
      <c r="B41" s="187">
        <v>18.0</v>
      </c>
      <c r="C41" s="188" t="str">
        <f>(VLOOKUP($B41,'Пр.взв'!$D$6:$J$63,2,0))</f>
        <v>ЕРОШКИНА  Лилия</v>
      </c>
      <c r="D41" s="189" t="str">
        <f>(VLOOKUP($B41,'Пр.взв'!$D$6:$J$63,5,0))</f>
        <v>2р</v>
      </c>
      <c r="E41" s="190" t="str">
        <f>(VLOOKUP($B41,'Пр.взв'!$D$6:$M$63,8,0))</f>
        <v>ХМАО-Югра</v>
      </c>
      <c r="F41" s="130">
        <v>17.0</v>
      </c>
      <c r="G41" s="131"/>
      <c r="H41" s="132">
        <v>20.0</v>
      </c>
      <c r="I41" s="131"/>
      <c r="J41" s="133" t="str">
        <f>IF(H41="Х","Х",IF($AC41&lt;6," ","Х"))</f>
        <v> </v>
      </c>
      <c r="K41" s="134"/>
      <c r="L41" s="133" t="str">
        <f>IF(J41="Х","Х",IF(K41&lt;3," ",IF($AC41&lt;6," ","Х")))</f>
        <v> </v>
      </c>
      <c r="M41" s="134"/>
      <c r="N41" s="133" t="str">
        <f>IF(L41="Х","Х",IF(M41&lt;3," ",IF($AC41&lt;6," ","Х")))</f>
        <v> </v>
      </c>
      <c r="O41" s="134"/>
      <c r="P41" s="133" t="str">
        <f>IF(N41="Х","Х",IF(O41&lt;3," ",IF($AC41&lt;6," ","Х")))</f>
        <v> </v>
      </c>
      <c r="Q41" s="134"/>
      <c r="R41" s="133" t="str">
        <f>IF(P41="Х","Х",IF(Q41&lt;3," ",IF($AC41&lt;6," ","Х")))</f>
        <v> </v>
      </c>
      <c r="S41" s="134"/>
      <c r="T41" s="133" t="str">
        <f>IF(R41="Х","Х",IF(S41&lt;3," ",IF($AC41&lt;6," ","Х")))</f>
        <v> </v>
      </c>
      <c r="U41" s="135"/>
      <c r="V41" s="133" t="str">
        <f>IF(T41="Х","Х",IF(U41&lt;3," ",IF($AC41&lt;6," ","Х")))</f>
        <v> </v>
      </c>
      <c r="W41" s="135"/>
      <c r="X41" s="133" t="str">
        <f>IF(V41="А1",$AZ$7,IF(V41="Б2",$AZ$6,IF(V41="Б1",$BA$7,IF(V41="А2",$BA$6,IF(V41="Х","Х",IF(V41&lt;6," "," "))))))</f>
        <v> </v>
      </c>
      <c r="Y41" s="136"/>
      <c r="Z41" s="133" t="str">
        <f>IF(V41="Х","Х",IF(ISBLANK(Y41),"",IF(Y41&gt;2.5," ",IF(B41=BB$6,BB$7,BB$6))))</f>
        <v/>
      </c>
      <c r="AA41" s="136"/>
      <c r="AB41" s="240" t="str">
        <f>IF(H41="Х",F$5,IF(J41="Х",H$5,IF(L41="Х",J$5,IF(N41="Х",L$5,IF(P41="Х",N$5,IF(R41="Х",P$5,IF(T41="Х",R$5,IF(X41="Х",T$5,""))))))))</f>
        <v/>
      </c>
      <c r="AC41" s="138">
        <f>SUM(G41+I41+K41+M41+O41+Q41+S41+U41+Y41+AA41)</f>
        <v>0</v>
      </c>
      <c r="AD41" s="139" t="str">
        <f>AF41</f>
        <v>1-24</v>
      </c>
      <c r="AE41" s="140" t="str">
        <f>AD41</f>
        <v>1-24</v>
      </c>
      <c r="AF41" s="141" t="str">
        <f>COUNTIF(AG$6:AG$148,"&gt;"&amp;AG$6:AG$148)+1&amp;REPT("-"&amp;COUNTIF(AG$6:AG$148,"&gt;="&amp;AG$6:AG$148),COUNTIF(AG$6:AG$148,AG41)&gt;1)</f>
        <v>1-24</v>
      </c>
      <c r="AG41" s="142">
        <f>(AR41*100)+(AP41*10)-AC41</f>
        <v>1280</v>
      </c>
      <c r="AH41" s="143" t="str">
        <f>IF(OR(F41="Х",F41="св")," ",IF(AND(G41&gt;=0,G41&lt;3),"1"," "))</f>
        <v>1</v>
      </c>
      <c r="AI41" s="90" t="str">
        <f>IF(OR(H41="Х",H41="св")," ",IF(AND(I41&gt;=0,I41&lt;3),"1"," "))</f>
        <v>1</v>
      </c>
      <c r="AJ41" s="90" t="str">
        <f>IF(OR(J41="Х",J41="св")," ",IF(AND(K41&gt;=0,K41&lt;3),"1"," "))</f>
        <v>1</v>
      </c>
      <c r="AK41" s="90" t="str">
        <f>IF(OR(L41="Х",L41="св")," ",IF(AND(M41&gt;=0,M41&lt;3),"1"," "))</f>
        <v>1</v>
      </c>
      <c r="AL41" s="90" t="str">
        <f>IF(OR(N41="Х",N41="св")," ",IF(AND(O41&gt;=0,O41&lt;3),"1"," "))</f>
        <v>1</v>
      </c>
      <c r="AM41" s="90" t="str">
        <f>IF(OR(P41="Х",P41="св")," ",IF(AND(Q41&gt;=0,Q41&lt;3),"1"," "))</f>
        <v>1</v>
      </c>
      <c r="AN41" s="90" t="str">
        <f>IF(OR(R41="Х",R41="св")," ",IF(AND(S41&gt;=0,S41&lt;3),"1"," "))</f>
        <v>1</v>
      </c>
      <c r="AO41" s="90" t="str">
        <f>IF(OR(T41="Х",T41="св")," ",IF(AND(U41&gt;=0,U41&lt;3),"1"," "))</f>
        <v>1</v>
      </c>
      <c r="AP41" s="90">
        <f>COUNTIF(AH41:AO42,1)</f>
        <v>8</v>
      </c>
      <c r="AQ41" s="90">
        <f>AG41-AC41</f>
        <v>1280</v>
      </c>
      <c r="AR41" s="144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90" t="str">
        <f>COUNTIF(AG$6:AG$134,"&gt;"&amp;AG$6:AG$134)+1&amp;REPT("-"&amp;COUNTIF(AG$6:AG$134,"&gt;="&amp;AG$6:AG$134),COUNTIF(AG$6:AG$134,AG41)&gt;1)</f>
        <v>1-24</v>
      </c>
      <c r="AT41" s="143" t="str">
        <f t="shared" ref="AT41:AW41" si="23">COUNTIF(AU$6:AU$134,"&gt;"&amp;AU$6:AU$134)+1&amp;REPT("-"&amp;COUNTIF(AU$6:AU$134,"&gt;="&amp;AU$6:AU$134),COUNTIF(AU$6:AU$134,AU41)&gt;1)</f>
        <v>1-64</v>
      </c>
      <c r="AU41" s="143" t="str">
        <f t="shared" si="23"/>
        <v>1-0</v>
      </c>
      <c r="AV41" s="143" t="str">
        <f t="shared" si="23"/>
        <v>1</v>
      </c>
      <c r="AW41" s="143" t="str">
        <f t="shared" si="23"/>
        <v>47</v>
      </c>
      <c r="AX41" s="145">
        <f>IF(X41="Х","Х",IF(Y41&lt;3,B41,"Х"))</f>
        <v>18</v>
      </c>
      <c r="AY41" s="222" t="s">
        <v>195</v>
      </c>
      <c r="AZ41" s="152"/>
      <c r="BA41" s="222" t="s">
        <v>195</v>
      </c>
      <c r="BB41" s="146"/>
      <c r="BC41" s="49" t="s">
        <v>195</v>
      </c>
      <c r="BD41" s="225"/>
      <c r="BE41" s="49" t="s">
        <v>195</v>
      </c>
      <c r="BF41" s="224"/>
      <c r="BG41" s="49" t="s">
        <v>195</v>
      </c>
      <c r="BH41" s="49" t="s">
        <v>195</v>
      </c>
      <c r="BI41" s="49"/>
      <c r="BJ41" s="49"/>
      <c r="BK41" s="49"/>
      <c r="BL41" s="49"/>
      <c r="BM41" s="195">
        <v>18.0</v>
      </c>
      <c r="BN41" s="196">
        <v>17.0</v>
      </c>
      <c r="BO41" s="153" t="str">
        <f>IF(BM41&lt;BN41,BM41,"")</f>
        <v/>
      </c>
      <c r="BP41" s="196" t="s">
        <v>195</v>
      </c>
      <c r="BQ41" s="197"/>
      <c r="BR41" s="198">
        <v>18.0</v>
      </c>
      <c r="BS41" s="196">
        <v>20.0</v>
      </c>
      <c r="BT41" s="175">
        <f>IF(BR41&lt;BS41,BR41,"")</f>
        <v>18</v>
      </c>
      <c r="BU41" s="196">
        <v>18.0</v>
      </c>
      <c r="BV41" s="196"/>
      <c r="BW41" s="199">
        <v>18.0</v>
      </c>
      <c r="BX41" s="74" t="s">
        <v>194</v>
      </c>
      <c r="BY41" s="160">
        <f t="array" ref="BY41">IF(BW41&lt;BX41,BW41,"")</f>
        <v>18</v>
      </c>
      <c r="BZ41" s="160">
        <f t="shared" si="17"/>
        <v>18</v>
      </c>
      <c r="CA41" s="74">
        <f>IFERROR(__xludf.DUMMYFUNCTION("""COMPUTED_VALUE"""),36.0)</f>
        <v>36</v>
      </c>
      <c r="CB41" s="74">
        <f t="shared" si="18"/>
        <v>36</v>
      </c>
      <c r="CC41" s="200"/>
      <c r="CD41" s="243"/>
      <c r="CE41" s="200">
        <v>18.0</v>
      </c>
      <c r="CF41" s="25" t="s">
        <v>194</v>
      </c>
      <c r="CG41" s="153">
        <f t="array" ref="CG41">IF(CE41&lt;CF41,CE41,"")</f>
        <v>18</v>
      </c>
      <c r="CH41" s="74">
        <v>18.0</v>
      </c>
      <c r="CI41" s="182">
        <f>IFERROR(__xludf.DUMMYFUNCTION("""COMPUTED_VALUE"""),36.0)</f>
        <v>36</v>
      </c>
      <c r="CJ41" s="93">
        <v>18.0</v>
      </c>
      <c r="CK41" s="233" t="s">
        <v>194</v>
      </c>
      <c r="CL41" s="153">
        <f t="array" ref="CL41">IF(CJ41&lt;CK41,CJ41,"")</f>
        <v>18</v>
      </c>
      <c r="CM41" s="49">
        <v>18.0</v>
      </c>
      <c r="CN41" s="49">
        <f>IFERROR(__xludf.DUMMYFUNCTION("""COMPUTED_VALUE"""),36.0)</f>
        <v>36</v>
      </c>
      <c r="CO41" s="74">
        <v>18.0</v>
      </c>
      <c r="CP41" s="200" t="s">
        <v>194</v>
      </c>
      <c r="CQ41" s="153">
        <f t="array" ref="CQ41">IF(CO41&lt;CP41,CO41,"")</f>
        <v>18</v>
      </c>
      <c r="CR41" s="93">
        <v>18.0</v>
      </c>
      <c r="CS41" s="234">
        <f>IFERROR(__xludf.DUMMYFUNCTION("""COMPUTED_VALUE"""),36.0)</f>
        <v>36</v>
      </c>
      <c r="CT41" s="200">
        <v>18.0</v>
      </c>
      <c r="CU41" s="74" t="s">
        <v>194</v>
      </c>
      <c r="CV41" s="153">
        <f t="array" ref="CV41">IF(CT41&lt;CU41,CT41,"")</f>
        <v>18</v>
      </c>
      <c r="CW41" s="49">
        <v>18.0</v>
      </c>
      <c r="CX41" s="49">
        <f>IFERROR(__xludf.DUMMYFUNCTION("""COMPUTED_VALUE"""),36.0)</f>
        <v>36</v>
      </c>
      <c r="CY41" s="200">
        <v>18.0</v>
      </c>
      <c r="CZ41" s="74" t="s">
        <v>194</v>
      </c>
      <c r="DA41" s="153">
        <f t="array" ref="DA41">IF(CY41&lt;CZ41,CY41,"")</f>
        <v>18</v>
      </c>
      <c r="DB41" s="49">
        <v>18.0</v>
      </c>
      <c r="DC41" s="49">
        <f>IFERROR(__xludf.DUMMYFUNCTION("""COMPUTED_VALUE"""),36.0)</f>
        <v>36</v>
      </c>
      <c r="DD41" s="49">
        <v>18.0</v>
      </c>
      <c r="DE41" s="49"/>
      <c r="DF41" s="49"/>
      <c r="DG41" s="49"/>
      <c r="DH41" s="49"/>
    </row>
    <row r="42" ht="13.5" customHeight="1">
      <c r="A42" s="118"/>
      <c r="B42" s="165"/>
      <c r="C42" s="165"/>
      <c r="D42" s="165"/>
      <c r="E42" s="165"/>
      <c r="F42" s="166"/>
      <c r="G42" s="167"/>
      <c r="H42" s="168"/>
      <c r="I42" s="167"/>
      <c r="J42" s="168"/>
      <c r="K42" s="167"/>
      <c r="L42" s="168"/>
      <c r="M42" s="167"/>
      <c r="N42" s="168"/>
      <c r="O42" s="167"/>
      <c r="P42" s="168"/>
      <c r="Q42" s="167"/>
      <c r="R42" s="168"/>
      <c r="S42" s="167"/>
      <c r="T42" s="168"/>
      <c r="U42" s="169"/>
      <c r="V42" s="168"/>
      <c r="W42" s="169"/>
      <c r="X42" s="168"/>
      <c r="Y42" s="167"/>
      <c r="Z42" s="168"/>
      <c r="AA42" s="167"/>
      <c r="AB42" s="166"/>
      <c r="AC42" s="165"/>
      <c r="AD42" s="168"/>
      <c r="AE42" s="170"/>
      <c r="AF42" s="171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Y42" s="227" t="s">
        <v>195</v>
      </c>
      <c r="AZ42" s="152"/>
      <c r="BA42" s="228" t="s">
        <v>195</v>
      </c>
      <c r="BB42" s="146"/>
      <c r="BC42" s="49" t="s">
        <v>195</v>
      </c>
      <c r="BD42" s="225"/>
      <c r="BE42" s="49" t="s">
        <v>195</v>
      </c>
      <c r="BF42" s="224"/>
      <c r="BG42" s="49" t="s">
        <v>195</v>
      </c>
      <c r="BH42" s="49" t="s">
        <v>195</v>
      </c>
      <c r="BI42" s="49"/>
      <c r="BJ42" s="49"/>
      <c r="BK42" s="49"/>
      <c r="BL42" s="49"/>
      <c r="BM42" s="178"/>
      <c r="BO42" s="175" t="str">
        <f>IF(BO41="","",BN41)</f>
        <v/>
      </c>
      <c r="BP42" s="175" t="s">
        <v>195</v>
      </c>
      <c r="BQ42" s="197"/>
      <c r="BT42" s="175">
        <f>IF(BT41="","",BS41)</f>
        <v>20</v>
      </c>
      <c r="BU42" s="175">
        <v>20.0</v>
      </c>
      <c r="BV42" s="196"/>
      <c r="BW42" s="178"/>
      <c r="BY42" s="160" t="str">
        <f>IF(BY41="","",BX41)</f>
        <v> </v>
      </c>
      <c r="BZ42" s="160" t="str">
        <f t="shared" si="17"/>
        <v> </v>
      </c>
      <c r="CA42" s="200">
        <f>IFERROR(__xludf.DUMMYFUNCTION("""COMPUTED_VALUE"""),37.0)</f>
        <v>37</v>
      </c>
      <c r="CB42" s="74">
        <f t="shared" si="18"/>
        <v>37</v>
      </c>
      <c r="CC42" s="200"/>
      <c r="CD42" s="243"/>
      <c r="CG42" s="180" t="str">
        <f>IF(CG41="","",CF41)</f>
        <v> </v>
      </c>
      <c r="CH42" s="200" t="s">
        <v>194</v>
      </c>
      <c r="CI42" s="182">
        <f>IFERROR(__xludf.DUMMYFUNCTION("""COMPUTED_VALUE"""),37.0)</f>
        <v>37</v>
      </c>
      <c r="CJ42" s="49" t="s">
        <v>195</v>
      </c>
      <c r="CK42" s="235"/>
      <c r="CL42" s="180" t="str">
        <f>IF(CL41="","",CK41)</f>
        <v> </v>
      </c>
      <c r="CM42" s="49" t="s">
        <v>194</v>
      </c>
      <c r="CN42" s="49">
        <f>IFERROR(__xludf.DUMMYFUNCTION("""COMPUTED_VALUE"""),37.0)</f>
        <v>37</v>
      </c>
      <c r="CQ42" s="180" t="str">
        <f>IF(CQ41="","",CP41)</f>
        <v> </v>
      </c>
      <c r="CR42" s="49" t="s">
        <v>194</v>
      </c>
      <c r="CS42" s="234">
        <f>IFERROR(__xludf.DUMMYFUNCTION("""COMPUTED_VALUE"""),37.0)</f>
        <v>37</v>
      </c>
      <c r="CV42" s="180" t="str">
        <f>IF(CV41="","",CU41)</f>
        <v> </v>
      </c>
      <c r="CW42" s="49" t="s">
        <v>194</v>
      </c>
      <c r="CX42" s="49">
        <f>IFERROR(__xludf.DUMMYFUNCTION("""COMPUTED_VALUE"""),37.0)</f>
        <v>37</v>
      </c>
      <c r="DA42" s="180" t="str">
        <f>IF(DA41="","",CZ41)</f>
        <v> </v>
      </c>
      <c r="DB42" s="49" t="s">
        <v>194</v>
      </c>
      <c r="DC42" s="49">
        <f>IFERROR(__xludf.DUMMYFUNCTION("""COMPUTED_VALUE"""),37.0)</f>
        <v>37</v>
      </c>
      <c r="DD42" s="49" t="s">
        <v>195</v>
      </c>
      <c r="DE42" s="49"/>
      <c r="DF42" s="49"/>
      <c r="DG42" s="49"/>
      <c r="DH42" s="49"/>
    </row>
    <row r="43" ht="13.5" customHeight="1">
      <c r="A43" s="118"/>
      <c r="B43" s="187">
        <v>19.0</v>
      </c>
      <c r="C43" s="188" t="str">
        <f>(VLOOKUP($B43,'Пр.взв'!$D$6:$J$63,2,0))</f>
        <v>АЙТУГАНОВА Тамаша </v>
      </c>
      <c r="D43" s="189" t="str">
        <f>(VLOOKUP($B43,'Пр.взв'!$D$6:$J$63,5,0))</f>
        <v>КМС</v>
      </c>
      <c r="E43" s="190" t="str">
        <f>(VLOOKUP($B43,'Пр.взв'!$D$6:$M$63,8,0))</f>
        <v>Оренбургская</v>
      </c>
      <c r="F43" s="130">
        <v>20.0</v>
      </c>
      <c r="G43" s="131"/>
      <c r="H43" s="132">
        <v>17.0</v>
      </c>
      <c r="I43" s="131"/>
      <c r="J43" s="133" t="str">
        <f>IF(H43="Х","Х",IF($AC43&lt;6," ","Х"))</f>
        <v> </v>
      </c>
      <c r="K43" s="134"/>
      <c r="L43" s="133" t="str">
        <f>IF(J43="Х","Х",IF(K43&lt;3," ",IF($AC43&lt;6," ","Х")))</f>
        <v> </v>
      </c>
      <c r="M43" s="134"/>
      <c r="N43" s="133" t="str">
        <f>IF(L43="Х","Х",IF(M43&lt;3," ",IF($AC43&lt;6," ","Х")))</f>
        <v> </v>
      </c>
      <c r="O43" s="134"/>
      <c r="P43" s="133" t="str">
        <f>IF(N43="Х","Х",IF(O43&lt;3," ",IF($AC43&lt;6," ","Х")))</f>
        <v> </v>
      </c>
      <c r="Q43" s="134"/>
      <c r="R43" s="133" t="str">
        <f>IF(P43="Х","Х",IF(Q43&lt;3," ",IF($AC43&lt;6," ","Х")))</f>
        <v> </v>
      </c>
      <c r="S43" s="134"/>
      <c r="T43" s="133" t="str">
        <f>IF(R43="Х","Х",IF(S43&lt;3," ",IF($AC43&lt;6," ","Х")))</f>
        <v> </v>
      </c>
      <c r="U43" s="135"/>
      <c r="V43" s="133" t="str">
        <f>IF(T43="Х","Х",IF(U43&lt;3," ",IF($AC43&lt;6," ","Х")))</f>
        <v> </v>
      </c>
      <c r="W43" s="135"/>
      <c r="X43" s="133" t="str">
        <f>IF(V43="А1",$AZ$7,IF(V43="Б2",$AZ$6,IF(V43="Б1",$BA$7,IF(V43="А2",$BA$6,IF(V43="Х","Х",IF(V43&lt;6," "," "))))))</f>
        <v> </v>
      </c>
      <c r="Y43" s="136"/>
      <c r="Z43" s="133" t="str">
        <f>IF(V43="Х","Х",IF(ISBLANK(Y43),"",IF(Y43&gt;2.5," ",IF(B43=BB$6,BB$7,BB$6))))</f>
        <v/>
      </c>
      <c r="AA43" s="136"/>
      <c r="AB43" s="240" t="str">
        <f>IF(H43="Х",F$5,IF(J43="Х",H$5,IF(L43="Х",J$5,IF(N43="Х",L$5,IF(P43="Х",N$5,IF(R43="Х",P$5,IF(T43="Х",R$5,IF(X43="Х",T$5,""))))))))</f>
        <v/>
      </c>
      <c r="AC43" s="138">
        <f>SUM(G43+I43+K43+M43+O43+Q43+S43+U43+Y43+AA43)</f>
        <v>0</v>
      </c>
      <c r="AD43" s="241" t="str">
        <f>AF43</f>
        <v>1-24</v>
      </c>
      <c r="AE43" s="140" t="str">
        <f>AD43</f>
        <v>1-24</v>
      </c>
      <c r="AF43" s="141" t="str">
        <f>COUNTIF(AG$6:AG$148,"&gt;"&amp;AG$6:AG$148)+1&amp;REPT("-"&amp;COUNTIF(AG$6:AG$148,"&gt;="&amp;AG$6:AG$148),COUNTIF(AG$6:AG$148,AG43)&gt;1)</f>
        <v>1-24</v>
      </c>
      <c r="AG43" s="142">
        <f>(AR43*100)+(AP43*10)-AC43</f>
        <v>1280</v>
      </c>
      <c r="AH43" s="143" t="str">
        <f>IF(OR(F43="Х",F43="св")," ",IF(AND(G43&gt;=0,G43&lt;3),"1"," "))</f>
        <v>1</v>
      </c>
      <c r="AI43" s="90" t="str">
        <f>IF(OR(H43="Х",H43="св")," ",IF(AND(I43&gt;=0,I43&lt;3),"1"," "))</f>
        <v>1</v>
      </c>
      <c r="AJ43" s="90" t="str">
        <f>IF(OR(J43="Х",J43="св")," ",IF(AND(K43&gt;=0,K43&lt;3),"1"," "))</f>
        <v>1</v>
      </c>
      <c r="AK43" s="90" t="str">
        <f>IF(OR(L43="Х",L43="св")," ",IF(AND(M43&gt;=0,M43&lt;3),"1"," "))</f>
        <v>1</v>
      </c>
      <c r="AL43" s="90" t="str">
        <f>IF(OR(N43="Х",N43="св")," ",IF(AND(O43&gt;=0,O43&lt;3),"1"," "))</f>
        <v>1</v>
      </c>
      <c r="AM43" s="90" t="str">
        <f>IF(OR(P43="Х",P43="св")," ",IF(AND(Q43&gt;=0,Q43&lt;3),"1"," "))</f>
        <v>1</v>
      </c>
      <c r="AN43" s="90" t="str">
        <f>IF(OR(R43="Х",R43="св")," ",IF(AND(S43&gt;=0,S43&lt;3),"1"," "))</f>
        <v>1</v>
      </c>
      <c r="AO43" s="90" t="str">
        <f>IF(OR(T43="Х",T43="св")," ",IF(AND(U43&gt;=0,U43&lt;3),"1"," "))</f>
        <v>1</v>
      </c>
      <c r="AP43" s="90">
        <f>COUNTIF(AH43:AO44,1)</f>
        <v>8</v>
      </c>
      <c r="AQ43" s="90">
        <f>AG43-AC43</f>
        <v>1280</v>
      </c>
      <c r="AR43" s="144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90" t="str">
        <f>COUNTIF(AG$6:AG$134,"&gt;"&amp;AG$6:AG$134)+1&amp;REPT("-"&amp;COUNTIF(AG$6:AG$134,"&gt;="&amp;AG$6:AG$134),COUNTIF(AG$6:AG$134,AG43)&gt;1)</f>
        <v>1-24</v>
      </c>
      <c r="AT43" s="143" t="str">
        <f t="shared" ref="AT43:AW43" si="24">COUNTIF(AU$6:AU$134,"&gt;"&amp;AU$6:AU$134)+1&amp;REPT("-"&amp;COUNTIF(AU$6:AU$134,"&gt;="&amp;AU$6:AU$134),COUNTIF(AU$6:AU$134,AU43)&gt;1)</f>
        <v>1-64</v>
      </c>
      <c r="AU43" s="143" t="str">
        <f t="shared" si="24"/>
        <v>1-0</v>
      </c>
      <c r="AV43" s="143" t="str">
        <f t="shared" si="24"/>
        <v>1</v>
      </c>
      <c r="AW43" s="143" t="str">
        <f t="shared" si="24"/>
        <v>46</v>
      </c>
      <c r="AX43" s="145">
        <f>IF(X43="Х","Х",IF(Y43&lt;3,B43,"Х"))</f>
        <v>19</v>
      </c>
      <c r="AY43" s="222" t="s">
        <v>195</v>
      </c>
      <c r="AZ43" s="152"/>
      <c r="BA43" s="222" t="s">
        <v>195</v>
      </c>
      <c r="BB43" s="146"/>
      <c r="BC43" s="49" t="s">
        <v>195</v>
      </c>
      <c r="BD43" s="225"/>
      <c r="BE43" s="252" t="s">
        <v>195</v>
      </c>
      <c r="BF43" s="224"/>
      <c r="BG43" s="117" t="s">
        <v>195</v>
      </c>
      <c r="BH43" s="49" t="s">
        <v>195</v>
      </c>
      <c r="BI43" s="49"/>
      <c r="BJ43" s="49"/>
      <c r="BK43" s="49"/>
      <c r="BL43" s="49"/>
      <c r="BM43" s="195">
        <v>19.0</v>
      </c>
      <c r="BN43" s="196">
        <v>20.0</v>
      </c>
      <c r="BO43" s="153">
        <f>IF(BM43&lt;BN43,BM43,"")</f>
        <v>19</v>
      </c>
      <c r="BP43" s="196">
        <v>19.0</v>
      </c>
      <c r="BQ43" s="197"/>
      <c r="BR43" s="198">
        <v>19.0</v>
      </c>
      <c r="BS43" s="196">
        <v>17.0</v>
      </c>
      <c r="BT43" s="175" t="str">
        <f>IF(BR43&lt;BS43,BR43,"")</f>
        <v/>
      </c>
      <c r="BU43" s="196" t="s">
        <v>195</v>
      </c>
      <c r="BV43" s="196"/>
      <c r="BW43" s="199">
        <v>19.0</v>
      </c>
      <c r="BX43" s="74" t="s">
        <v>194</v>
      </c>
      <c r="BY43" s="160">
        <f t="array" ref="BY43">IF(BW43&lt;BX43,BW43,"")</f>
        <v>19</v>
      </c>
      <c r="BZ43" s="160">
        <f t="shared" si="17"/>
        <v>19</v>
      </c>
      <c r="CA43" s="74">
        <f>IFERROR(__xludf.DUMMYFUNCTION("""COMPUTED_VALUE"""),38.0)</f>
        <v>38</v>
      </c>
      <c r="CB43" s="74">
        <f t="shared" si="18"/>
        <v>38</v>
      </c>
      <c r="CC43" s="200"/>
      <c r="CD43" s="243"/>
      <c r="CE43" s="200">
        <v>19.0</v>
      </c>
      <c r="CF43" s="25" t="s">
        <v>194</v>
      </c>
      <c r="CG43" s="153">
        <f t="array" ref="CG43">IF(CE43&lt;CF43,CE43,"")</f>
        <v>19</v>
      </c>
      <c r="CH43" s="74">
        <v>19.0</v>
      </c>
      <c r="CI43" s="182">
        <f>IFERROR(__xludf.DUMMYFUNCTION("""COMPUTED_VALUE"""),38.0)</f>
        <v>38</v>
      </c>
      <c r="CJ43" s="93">
        <v>19.0</v>
      </c>
      <c r="CK43" s="233" t="s">
        <v>194</v>
      </c>
      <c r="CL43" s="153">
        <f t="array" ref="CL43">IF(CJ43&lt;CK43,CJ43,"")</f>
        <v>19</v>
      </c>
      <c r="CM43" s="49">
        <v>19.0</v>
      </c>
      <c r="CN43" s="49">
        <f>IFERROR(__xludf.DUMMYFUNCTION("""COMPUTED_VALUE"""),38.0)</f>
        <v>38</v>
      </c>
      <c r="CO43" s="74">
        <v>19.0</v>
      </c>
      <c r="CP43" s="200" t="s">
        <v>194</v>
      </c>
      <c r="CQ43" s="153">
        <f t="array" ref="CQ43">IF(CO43&lt;CP43,CO43,"")</f>
        <v>19</v>
      </c>
      <c r="CR43" s="93">
        <v>19.0</v>
      </c>
      <c r="CS43" s="234">
        <f>IFERROR(__xludf.DUMMYFUNCTION("""COMPUTED_VALUE"""),38.0)</f>
        <v>38</v>
      </c>
      <c r="CT43" s="200">
        <v>19.0</v>
      </c>
      <c r="CU43" s="74" t="s">
        <v>194</v>
      </c>
      <c r="CV43" s="153">
        <f t="array" ref="CV43">IF(CT43&lt;CU43,CT43,"")</f>
        <v>19</v>
      </c>
      <c r="CW43" s="49">
        <v>19.0</v>
      </c>
      <c r="CX43" s="49">
        <f>IFERROR(__xludf.DUMMYFUNCTION("""COMPUTED_VALUE"""),38.0)</f>
        <v>38</v>
      </c>
      <c r="CY43" s="200">
        <v>19.0</v>
      </c>
      <c r="CZ43" s="74" t="s">
        <v>194</v>
      </c>
      <c r="DA43" s="153">
        <f t="array" ref="DA43">IF(CY43&lt;CZ43,CY43,"")</f>
        <v>19</v>
      </c>
      <c r="DB43" s="49">
        <v>19.0</v>
      </c>
      <c r="DC43" s="49">
        <f>IFERROR(__xludf.DUMMYFUNCTION("""COMPUTED_VALUE"""),38.0)</f>
        <v>38</v>
      </c>
      <c r="DD43" s="49">
        <v>19.0</v>
      </c>
      <c r="DE43" s="49"/>
      <c r="DF43" s="49"/>
      <c r="DG43" s="49"/>
      <c r="DH43" s="49"/>
    </row>
    <row r="44" ht="13.5" customHeight="1">
      <c r="A44" s="118"/>
      <c r="B44" s="165"/>
      <c r="C44" s="165"/>
      <c r="D44" s="165"/>
      <c r="E44" s="165"/>
      <c r="F44" s="166"/>
      <c r="G44" s="167"/>
      <c r="H44" s="168"/>
      <c r="I44" s="167"/>
      <c r="J44" s="168"/>
      <c r="K44" s="167"/>
      <c r="L44" s="168"/>
      <c r="M44" s="167"/>
      <c r="N44" s="168"/>
      <c r="O44" s="167"/>
      <c r="P44" s="168"/>
      <c r="Q44" s="167"/>
      <c r="R44" s="168"/>
      <c r="S44" s="167"/>
      <c r="T44" s="168"/>
      <c r="U44" s="169"/>
      <c r="V44" s="168"/>
      <c r="W44" s="169"/>
      <c r="X44" s="168"/>
      <c r="Y44" s="167"/>
      <c r="Z44" s="168"/>
      <c r="AA44" s="167"/>
      <c r="AB44" s="166"/>
      <c r="AC44" s="165"/>
      <c r="AD44" s="168"/>
      <c r="AE44" s="170"/>
      <c r="AF44" s="171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Y44" s="227" t="s">
        <v>195</v>
      </c>
      <c r="AZ44" s="152"/>
      <c r="BA44" s="228" t="s">
        <v>195</v>
      </c>
      <c r="BB44" s="146"/>
      <c r="BC44" s="49" t="s">
        <v>195</v>
      </c>
      <c r="BD44" s="225"/>
      <c r="BE44" s="49" t="s">
        <v>195</v>
      </c>
      <c r="BF44" s="224"/>
      <c r="BG44" s="49" t="s">
        <v>195</v>
      </c>
      <c r="BH44" s="49" t="s">
        <v>195</v>
      </c>
      <c r="BI44" s="49"/>
      <c r="BJ44" s="49"/>
      <c r="BK44" s="49"/>
      <c r="BL44" s="49"/>
      <c r="BM44" s="178"/>
      <c r="BO44" s="175">
        <f>IF(BO43="","",BN43)</f>
        <v>20</v>
      </c>
      <c r="BP44" s="175">
        <v>20.0</v>
      </c>
      <c r="BQ44" s="197"/>
      <c r="BT44" s="175" t="str">
        <f>IF(BT43="","",BS43)</f>
        <v/>
      </c>
      <c r="BU44" s="175" t="s">
        <v>195</v>
      </c>
      <c r="BV44" s="196"/>
      <c r="BW44" s="178"/>
      <c r="BY44" s="160" t="str">
        <f>IF(BY43="","",BX43)</f>
        <v> </v>
      </c>
      <c r="BZ44" s="160" t="str">
        <f t="shared" si="17"/>
        <v> </v>
      </c>
      <c r="CA44" s="200">
        <f>IFERROR(__xludf.DUMMYFUNCTION("""COMPUTED_VALUE"""),39.0)</f>
        <v>39</v>
      </c>
      <c r="CB44" s="74">
        <f t="shared" si="18"/>
        <v>39</v>
      </c>
      <c r="CC44" s="200"/>
      <c r="CD44" s="243"/>
      <c r="CG44" s="180" t="str">
        <f>IF(CG43="","",CF43)</f>
        <v> </v>
      </c>
      <c r="CH44" s="200" t="s">
        <v>194</v>
      </c>
      <c r="CI44" s="182">
        <f>IFERROR(__xludf.DUMMYFUNCTION("""COMPUTED_VALUE"""),39.0)</f>
        <v>39</v>
      </c>
      <c r="CJ44" s="49" t="s">
        <v>195</v>
      </c>
      <c r="CK44" s="235"/>
      <c r="CL44" s="180" t="str">
        <f>IF(CL43="","",CK43)</f>
        <v> </v>
      </c>
      <c r="CM44" s="49" t="s">
        <v>194</v>
      </c>
      <c r="CN44" s="49">
        <f>IFERROR(__xludf.DUMMYFUNCTION("""COMPUTED_VALUE"""),39.0)</f>
        <v>39</v>
      </c>
      <c r="CQ44" s="180" t="str">
        <f>IF(CQ43="","",CP43)</f>
        <v> </v>
      </c>
      <c r="CR44" s="49" t="s">
        <v>194</v>
      </c>
      <c r="CS44" s="234">
        <f>IFERROR(__xludf.DUMMYFUNCTION("""COMPUTED_VALUE"""),39.0)</f>
        <v>39</v>
      </c>
      <c r="CV44" s="180" t="str">
        <f>IF(CV43="","",CU43)</f>
        <v> </v>
      </c>
      <c r="CW44" s="49" t="s">
        <v>194</v>
      </c>
      <c r="CX44" s="49">
        <f>IFERROR(__xludf.DUMMYFUNCTION("""COMPUTED_VALUE"""),39.0)</f>
        <v>39</v>
      </c>
      <c r="DA44" s="180" t="str">
        <f>IF(DA43="","",CZ43)</f>
        <v> </v>
      </c>
      <c r="DB44" s="49" t="s">
        <v>194</v>
      </c>
      <c r="DC44" s="49">
        <f>IFERROR(__xludf.DUMMYFUNCTION("""COMPUTED_VALUE"""),39.0)</f>
        <v>39</v>
      </c>
      <c r="DD44" s="49" t="s">
        <v>195</v>
      </c>
      <c r="DE44" s="49"/>
      <c r="DF44" s="49"/>
      <c r="DG44" s="49"/>
      <c r="DH44" s="49"/>
    </row>
    <row r="45" ht="13.5" customHeight="1">
      <c r="A45" s="118"/>
      <c r="B45" s="187">
        <v>20.0</v>
      </c>
      <c r="C45" s="188" t="str">
        <f>(VLOOKUP($B45,'Пр.взв'!$D$6:$J$63,2,0))</f>
        <v>КРАСИКОВА  Ника</v>
      </c>
      <c r="D45" s="189" t="str">
        <f>(VLOOKUP($B45,'Пр.взв'!$D$6:$J$63,5,0))</f>
        <v>2р</v>
      </c>
      <c r="E45" s="190" t="str">
        <f>(VLOOKUP($B45,'Пр.взв'!$D$6:$M$63,8,0))</f>
        <v>Архангельская</v>
      </c>
      <c r="F45" s="130">
        <v>19.0</v>
      </c>
      <c r="G45" s="131"/>
      <c r="H45" s="132">
        <v>18.0</v>
      </c>
      <c r="I45" s="131"/>
      <c r="J45" s="133" t="str">
        <f>IF(H45="Х","Х",IF($AC45&lt;6," ","Х"))</f>
        <v> </v>
      </c>
      <c r="K45" s="134"/>
      <c r="L45" s="133" t="str">
        <f>IF(J45="Х","Х",IF(K45&lt;3," ",IF($AC45&lt;6," ","Х")))</f>
        <v> </v>
      </c>
      <c r="M45" s="134"/>
      <c r="N45" s="133" t="str">
        <f>IF(L45="Х","Х",IF(M45&lt;3," ",IF($AC45&lt;6," ","Х")))</f>
        <v> </v>
      </c>
      <c r="O45" s="134"/>
      <c r="P45" s="133" t="str">
        <f>IF(N45="Х","Х",IF(O45&lt;3," ",IF($AC45&lt;6," ","Х")))</f>
        <v> </v>
      </c>
      <c r="Q45" s="134"/>
      <c r="R45" s="133" t="str">
        <f>IF(P45="Х","Х",IF(Q45&lt;3," ",IF($AC45&lt;6," ","Х")))</f>
        <v> </v>
      </c>
      <c r="S45" s="134"/>
      <c r="T45" s="133" t="str">
        <f>IF(R45="Х","Х",IF(S45&lt;3," ",IF($AC45&lt;6," ","Х")))</f>
        <v> </v>
      </c>
      <c r="U45" s="135"/>
      <c r="V45" s="133" t="str">
        <f>IF(T45="Х","Х",IF(U45&lt;3," ",IF($AC45&lt;6," ","Х")))</f>
        <v> </v>
      </c>
      <c r="W45" s="135"/>
      <c r="X45" s="133" t="str">
        <f>IF(V45="А1",$AZ$7,IF(V45="Б2",$AZ$6,IF(V45="Б1",$BA$7,IF(V45="А2",$BA$6,IF(V45="Х","Х",IF(V45&lt;6," "," "))))))</f>
        <v> </v>
      </c>
      <c r="Y45" s="136"/>
      <c r="Z45" s="133" t="str">
        <f>IF(V45="Х","Х",IF(ISBLANK(Y45),"",IF(Y45&gt;2.5," ",IF(B45=BB$6,BB$7,BB$6))))</f>
        <v/>
      </c>
      <c r="AA45" s="136"/>
      <c r="AB45" s="240" t="str">
        <f>IF(H45="Х",F$5,IF(J45="Х",H$5,IF(L45="Х",J$5,IF(N45="Х",L$5,IF(P45="Х",N$5,IF(R45="Х",P$5,IF(T45="Х",R$5,IF(X45="Х",T$5,""))))))))</f>
        <v/>
      </c>
      <c r="AC45" s="138">
        <f>SUM(G45+I45+K45+M45+O45+Q45+S45+U45+Y45+AA45)</f>
        <v>0</v>
      </c>
      <c r="AD45" s="241" t="str">
        <f>AF45</f>
        <v>1-24</v>
      </c>
      <c r="AE45" s="140" t="str">
        <f>AD45</f>
        <v>1-24</v>
      </c>
      <c r="AF45" s="141" t="str">
        <f>COUNTIF(AG$6:AG$148,"&gt;"&amp;AG$6:AG$148)+1&amp;REPT("-"&amp;COUNTIF(AG$6:AG$148,"&gt;="&amp;AG$6:AG$148),COUNTIF(AG$6:AG$148,AG45)&gt;1)</f>
        <v>1-24</v>
      </c>
      <c r="AG45" s="142">
        <f>(AR45*100)+(AP45*10)-AC45</f>
        <v>1280</v>
      </c>
      <c r="AH45" s="143" t="str">
        <f>IF(OR(F45="Х",F45="св")," ",IF(AND(G45&gt;=0,G45&lt;3),"1"," "))</f>
        <v>1</v>
      </c>
      <c r="AI45" s="90" t="str">
        <f>IF(OR(H45="Х",H45="св")," ",IF(AND(I45&gt;=0,I45&lt;3),"1"," "))</f>
        <v>1</v>
      </c>
      <c r="AJ45" s="90" t="str">
        <f>IF(OR(J45="Х",J45="св")," ",IF(AND(K45&gt;=0,K45&lt;3),"1"," "))</f>
        <v>1</v>
      </c>
      <c r="AK45" s="90" t="str">
        <f>IF(OR(L45="Х",L45="св")," ",IF(AND(M45&gt;=0,M45&lt;3),"1"," "))</f>
        <v>1</v>
      </c>
      <c r="AL45" s="90" t="str">
        <f>IF(OR(N45="Х",N45="св")," ",IF(AND(O45&gt;=0,O45&lt;3),"1"," "))</f>
        <v>1</v>
      </c>
      <c r="AM45" s="90" t="str">
        <f>IF(OR(P45="Х",P45="св")," ",IF(AND(Q45&gt;=0,Q45&lt;3),"1"," "))</f>
        <v>1</v>
      </c>
      <c r="AN45" s="90" t="str">
        <f>IF(OR(R45="Х",R45="св")," ",IF(AND(S45&gt;=0,S45&lt;3),"1"," "))</f>
        <v>1</v>
      </c>
      <c r="AO45" s="90" t="str">
        <f>IF(OR(T45="Х",T45="св")," ",IF(AND(U45&gt;=0,U45&lt;3),"1"," "))</f>
        <v>1</v>
      </c>
      <c r="AP45" s="90">
        <f>COUNTIF(AH45:AO46,1)</f>
        <v>8</v>
      </c>
      <c r="AQ45" s="90">
        <f>AG45-AC45</f>
        <v>1280</v>
      </c>
      <c r="AR45" s="144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0" t="str">
        <f>COUNTIF(AG$6:AG$134,"&gt;"&amp;AG$6:AG$134)+1&amp;REPT("-"&amp;COUNTIF(AG$6:AG$134,"&gt;="&amp;AG$6:AG$134),COUNTIF(AG$6:AG$134,AG45)&gt;1)</f>
        <v>1-24</v>
      </c>
      <c r="AT45" s="143" t="str">
        <f t="shared" ref="AT45:AW45" si="25">COUNTIF(AU$6:AU$134,"&gt;"&amp;AU$6:AU$134)+1&amp;REPT("-"&amp;COUNTIF(AU$6:AU$134,"&gt;="&amp;AU$6:AU$134),COUNTIF(AU$6:AU$134,AU45)&gt;1)</f>
        <v>1-64</v>
      </c>
      <c r="AU45" s="143" t="str">
        <f t="shared" si="25"/>
        <v>1-0</v>
      </c>
      <c r="AV45" s="143" t="str">
        <f t="shared" si="25"/>
        <v>1</v>
      </c>
      <c r="AW45" s="143" t="str">
        <f t="shared" si="25"/>
        <v>45</v>
      </c>
      <c r="AX45" s="145">
        <f>IF(X45="Х","Х",IF(Y45&lt;3,B45,"Х"))</f>
        <v>20</v>
      </c>
      <c r="AY45" s="222" t="s">
        <v>195</v>
      </c>
      <c r="AZ45" s="152"/>
      <c r="BA45" s="222" t="s">
        <v>195</v>
      </c>
      <c r="BB45" s="146"/>
      <c r="BC45" s="49" t="s">
        <v>195</v>
      </c>
      <c r="BD45" s="225"/>
      <c r="BE45" s="49" t="s">
        <v>195</v>
      </c>
      <c r="BF45" s="224"/>
      <c r="BG45" s="49" t="s">
        <v>195</v>
      </c>
      <c r="BH45" s="49" t="s">
        <v>195</v>
      </c>
      <c r="BI45" s="49"/>
      <c r="BJ45" s="49"/>
      <c r="BK45" s="49"/>
      <c r="BL45" s="49"/>
      <c r="BM45" s="195">
        <v>20.0</v>
      </c>
      <c r="BN45" s="196">
        <v>19.0</v>
      </c>
      <c r="BO45" s="153" t="str">
        <f>IF(BM45&lt;BN45,BM45,"")</f>
        <v/>
      </c>
      <c r="BP45" s="196" t="s">
        <v>195</v>
      </c>
      <c r="BQ45" s="197"/>
      <c r="BR45" s="198">
        <v>20.0</v>
      </c>
      <c r="BS45" s="196">
        <v>18.0</v>
      </c>
      <c r="BT45" s="175" t="str">
        <f>IF(BR45&lt;BS45,BR45,"")</f>
        <v/>
      </c>
      <c r="BU45" s="196" t="s">
        <v>195</v>
      </c>
      <c r="BV45" s="196"/>
      <c r="BW45" s="199">
        <v>20.0</v>
      </c>
      <c r="BX45" s="74" t="s">
        <v>194</v>
      </c>
      <c r="BY45" s="160">
        <f t="array" ref="BY45">IF(BW45&lt;BX45,BW45,"")</f>
        <v>20</v>
      </c>
      <c r="BZ45" s="160">
        <f t="shared" si="17"/>
        <v>20</v>
      </c>
      <c r="CA45" s="74">
        <f>IFERROR(__xludf.DUMMYFUNCTION("""COMPUTED_VALUE"""),40.0)</f>
        <v>40</v>
      </c>
      <c r="CB45" s="74">
        <f t="shared" si="18"/>
        <v>40</v>
      </c>
      <c r="CC45" s="200"/>
      <c r="CD45" s="243"/>
      <c r="CE45" s="200">
        <v>20.0</v>
      </c>
      <c r="CF45" s="25" t="s">
        <v>194</v>
      </c>
      <c r="CG45" s="153">
        <f t="array" ref="CG45">IF(CE45&lt;CF45,CE45,"")</f>
        <v>20</v>
      </c>
      <c r="CH45" s="74">
        <v>20.0</v>
      </c>
      <c r="CI45" s="182">
        <f>IFERROR(__xludf.DUMMYFUNCTION("""COMPUTED_VALUE"""),40.0)</f>
        <v>40</v>
      </c>
      <c r="CJ45" s="93">
        <v>20.0</v>
      </c>
      <c r="CK45" s="233" t="s">
        <v>194</v>
      </c>
      <c r="CL45" s="153">
        <f t="array" ref="CL45">IF(CJ45&lt;CK45,CJ45,"")</f>
        <v>20</v>
      </c>
      <c r="CM45" s="49">
        <v>20.0</v>
      </c>
      <c r="CN45" s="49">
        <f>IFERROR(__xludf.DUMMYFUNCTION("""COMPUTED_VALUE"""),40.0)</f>
        <v>40</v>
      </c>
      <c r="CO45" s="74">
        <v>20.0</v>
      </c>
      <c r="CP45" s="200" t="s">
        <v>194</v>
      </c>
      <c r="CQ45" s="153">
        <f t="array" ref="CQ45">IF(CO45&lt;CP45,CO45,"")</f>
        <v>20</v>
      </c>
      <c r="CR45" s="93">
        <v>20.0</v>
      </c>
      <c r="CS45" s="234">
        <f>IFERROR(__xludf.DUMMYFUNCTION("""COMPUTED_VALUE"""),40.0)</f>
        <v>40</v>
      </c>
      <c r="CT45" s="200">
        <v>20.0</v>
      </c>
      <c r="CU45" s="74" t="s">
        <v>194</v>
      </c>
      <c r="CV45" s="153">
        <f t="array" ref="CV45">IF(CT45&lt;CU45,CT45,"")</f>
        <v>20</v>
      </c>
      <c r="CW45" s="49">
        <v>20.0</v>
      </c>
      <c r="CX45" s="49">
        <f>IFERROR(__xludf.DUMMYFUNCTION("""COMPUTED_VALUE"""),40.0)</f>
        <v>40</v>
      </c>
      <c r="CY45" s="200">
        <v>20.0</v>
      </c>
      <c r="CZ45" s="74" t="s">
        <v>194</v>
      </c>
      <c r="DA45" s="153">
        <f t="array" ref="DA45">IF(CY45&lt;CZ45,CY45,"")</f>
        <v>20</v>
      </c>
      <c r="DB45" s="49">
        <v>20.0</v>
      </c>
      <c r="DC45" s="49">
        <f>IFERROR(__xludf.DUMMYFUNCTION("""COMPUTED_VALUE"""),40.0)</f>
        <v>40</v>
      </c>
      <c r="DD45" s="49">
        <v>20.0</v>
      </c>
      <c r="DE45" s="49"/>
      <c r="DF45" s="49"/>
      <c r="DG45" s="49"/>
      <c r="DH45" s="49"/>
    </row>
    <row r="46" ht="13.5" customHeight="1">
      <c r="A46" s="118"/>
      <c r="B46" s="165"/>
      <c r="C46" s="165"/>
      <c r="D46" s="165"/>
      <c r="E46" s="165"/>
      <c r="F46" s="166"/>
      <c r="G46" s="167"/>
      <c r="H46" s="168"/>
      <c r="I46" s="167"/>
      <c r="J46" s="168"/>
      <c r="K46" s="167"/>
      <c r="L46" s="168"/>
      <c r="M46" s="167"/>
      <c r="N46" s="168"/>
      <c r="O46" s="167"/>
      <c r="P46" s="168"/>
      <c r="Q46" s="167"/>
      <c r="R46" s="168"/>
      <c r="S46" s="167"/>
      <c r="T46" s="168"/>
      <c r="U46" s="169"/>
      <c r="V46" s="168"/>
      <c r="W46" s="169"/>
      <c r="X46" s="168"/>
      <c r="Y46" s="167"/>
      <c r="Z46" s="168"/>
      <c r="AA46" s="167"/>
      <c r="AB46" s="166"/>
      <c r="AC46" s="165"/>
      <c r="AD46" s="168"/>
      <c r="AE46" s="170"/>
      <c r="AF46" s="171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Y46" s="227" t="s">
        <v>195</v>
      </c>
      <c r="AZ46" s="152"/>
      <c r="BA46" s="228" t="s">
        <v>195</v>
      </c>
      <c r="BB46" s="146"/>
      <c r="BC46" s="49" t="s">
        <v>195</v>
      </c>
      <c r="BD46" s="225"/>
      <c r="BE46" s="252" t="s">
        <v>195</v>
      </c>
      <c r="BF46" s="224"/>
      <c r="BG46" s="117" t="s">
        <v>195</v>
      </c>
      <c r="BH46" s="49" t="s">
        <v>195</v>
      </c>
      <c r="BI46" s="49"/>
      <c r="BJ46" s="49"/>
      <c r="BK46" s="49"/>
      <c r="BL46" s="49"/>
      <c r="BM46" s="178"/>
      <c r="BO46" s="175" t="str">
        <f>IF(BO45="","",BN45)</f>
        <v/>
      </c>
      <c r="BP46" s="175" t="s">
        <v>195</v>
      </c>
      <c r="BQ46" s="197"/>
      <c r="BT46" s="175" t="str">
        <f>IF(BT45="","",BS45)</f>
        <v/>
      </c>
      <c r="BU46" s="175" t="s">
        <v>195</v>
      </c>
      <c r="BV46" s="196"/>
      <c r="BW46" s="178"/>
      <c r="BY46" s="160" t="str">
        <f>IF(BY45="","",BX45)</f>
        <v> </v>
      </c>
      <c r="BZ46" s="160" t="str">
        <f t="shared" si="17"/>
        <v> </v>
      </c>
      <c r="CA46" s="200">
        <f>IFERROR(__xludf.DUMMYFUNCTION("""COMPUTED_VALUE"""),41.0)</f>
        <v>41</v>
      </c>
      <c r="CB46" s="74">
        <f t="shared" si="18"/>
        <v>41</v>
      </c>
      <c r="CC46" s="200"/>
      <c r="CD46" s="243"/>
      <c r="CG46" s="180" t="str">
        <f>IF(CG45="","",CF45)</f>
        <v> </v>
      </c>
      <c r="CH46" s="200" t="s">
        <v>194</v>
      </c>
      <c r="CI46" s="182">
        <f>IFERROR(__xludf.DUMMYFUNCTION("""COMPUTED_VALUE"""),41.0)</f>
        <v>41</v>
      </c>
      <c r="CJ46" s="49" t="s">
        <v>195</v>
      </c>
      <c r="CK46" s="235"/>
      <c r="CL46" s="180" t="str">
        <f>IF(CL45="","",CK45)</f>
        <v> </v>
      </c>
      <c r="CM46" s="49" t="s">
        <v>194</v>
      </c>
      <c r="CN46" s="49">
        <f>IFERROR(__xludf.DUMMYFUNCTION("""COMPUTED_VALUE"""),41.0)</f>
        <v>41</v>
      </c>
      <c r="CQ46" s="180" t="str">
        <f>IF(CQ45="","",CP45)</f>
        <v> </v>
      </c>
      <c r="CR46" s="49" t="s">
        <v>194</v>
      </c>
      <c r="CS46" s="234">
        <f>IFERROR(__xludf.DUMMYFUNCTION("""COMPUTED_VALUE"""),41.0)</f>
        <v>41</v>
      </c>
      <c r="CV46" s="180" t="str">
        <f>IF(CV45="","",CU45)</f>
        <v> </v>
      </c>
      <c r="CW46" s="49" t="s">
        <v>194</v>
      </c>
      <c r="CX46" s="49">
        <f>IFERROR(__xludf.DUMMYFUNCTION("""COMPUTED_VALUE"""),41.0)</f>
        <v>41</v>
      </c>
      <c r="DA46" s="180" t="str">
        <f>IF(DA45="","",CZ45)</f>
        <v> </v>
      </c>
      <c r="DB46" s="49" t="s">
        <v>194</v>
      </c>
      <c r="DC46" s="49">
        <f>IFERROR(__xludf.DUMMYFUNCTION("""COMPUTED_VALUE"""),41.0)</f>
        <v>41</v>
      </c>
      <c r="DD46" s="49" t="s">
        <v>195</v>
      </c>
      <c r="DE46" s="49"/>
      <c r="DF46" s="49"/>
      <c r="DG46" s="49"/>
      <c r="DH46" s="49"/>
    </row>
    <row r="47" ht="13.5" customHeight="1">
      <c r="A47" s="118"/>
      <c r="B47" s="187">
        <v>21.0</v>
      </c>
      <c r="C47" s="188" t="str">
        <f>(VLOOKUP($B47,'Пр.взв'!$D$6:$J$63,2,0))</f>
        <v>КАЗАНКОВА Фаина</v>
      </c>
      <c r="D47" s="189" t="str">
        <f>(VLOOKUP($B47,'Пр.взв'!$D$6:$J$63,5,0))</f>
        <v>1р</v>
      </c>
      <c r="E47" s="190" t="str">
        <f>(VLOOKUP($B47,'Пр.взв'!$D$6:$M$63,8,0))</f>
        <v>Хабаровский</v>
      </c>
      <c r="F47" s="130">
        <v>22.0</v>
      </c>
      <c r="G47" s="131"/>
      <c r="H47" s="132">
        <v>23.0</v>
      </c>
      <c r="I47" s="131"/>
      <c r="J47" s="133" t="str">
        <f>IF(H47="Х","Х",IF($AC47&lt;6," ","Х"))</f>
        <v> </v>
      </c>
      <c r="K47" s="134"/>
      <c r="L47" s="133" t="str">
        <f>IF(J47="Х","Х",IF(K47&lt;3," ",IF($AC47&lt;6," ","Х")))</f>
        <v> </v>
      </c>
      <c r="M47" s="134"/>
      <c r="N47" s="133" t="str">
        <f>IF(L47="Х","Х",IF(M47&lt;3," ",IF($AC47&lt;6," ","Х")))</f>
        <v> </v>
      </c>
      <c r="O47" s="134"/>
      <c r="P47" s="133" t="str">
        <f>IF(N47="Х","Х",IF(O47&lt;3," ",IF($AC47&lt;6," ","Х")))</f>
        <v> </v>
      </c>
      <c r="Q47" s="134"/>
      <c r="R47" s="133" t="str">
        <f>IF(P47="Х","Х",IF(Q47&lt;3," ",IF($AC47&lt;6," ","Х")))</f>
        <v> </v>
      </c>
      <c r="S47" s="134"/>
      <c r="T47" s="133" t="str">
        <f>IF(R47="Х","Х",IF(S47&lt;3," ",IF($AC47&lt;6," ","Х")))</f>
        <v> </v>
      </c>
      <c r="U47" s="135"/>
      <c r="V47" s="133" t="str">
        <f>IF(T47="Х","Х",IF(U47&lt;3," ",IF($AC47&lt;6," ","Х")))</f>
        <v> </v>
      </c>
      <c r="W47" s="135"/>
      <c r="X47" s="133" t="str">
        <f>IF(V47="А1",$AZ$7,IF(V47="Б2",$AZ$6,IF(V47="Б1",$BA$7,IF(V47="А2",$BA$6,IF(V47="Х","Х",IF(V47&lt;6," "," "))))))</f>
        <v> </v>
      </c>
      <c r="Y47" s="136"/>
      <c r="Z47" s="133" t="str">
        <f>IF(V47="Х","Х",IF(ISBLANK(Y47),"",IF(Y47&gt;2.5," ",IF(B47=BB$6,BB$7,BB$6))))</f>
        <v/>
      </c>
      <c r="AA47" s="136"/>
      <c r="AB47" s="240" t="str">
        <f>IF(H47="Х",F$5,IF(J47="Х",H$5,IF(L47="Х",J$5,IF(N47="Х",L$5,IF(P47="Х",N$5,IF(R47="Х",P$5,IF(T47="Х",R$5,IF(X47="Х",T$5,""))))))))</f>
        <v/>
      </c>
      <c r="AC47" s="138">
        <f>SUM(G47+I47+K47+M47+O47+Q47+S47+U47+Y47+AA47)</f>
        <v>0</v>
      </c>
      <c r="AD47" s="241" t="str">
        <f>AF47</f>
        <v>1-24</v>
      </c>
      <c r="AE47" s="140" t="str">
        <f>AD47</f>
        <v>1-24</v>
      </c>
      <c r="AF47" s="141" t="str">
        <f>COUNTIF(AG$6:AG$148,"&gt;"&amp;AG$6:AG$148)+1&amp;REPT("-"&amp;COUNTIF(AG$6:AG$148,"&gt;="&amp;AG$6:AG$148),COUNTIF(AG$6:AG$148,AG47)&gt;1)</f>
        <v>1-24</v>
      </c>
      <c r="AG47" s="142">
        <f>(AR47*100)+(AP47*10)-AC47</f>
        <v>1280</v>
      </c>
      <c r="AH47" s="143" t="str">
        <f>IF(OR(F47="Х",F47="св")," ",IF(AND(G47&gt;=0,G47&lt;3),"1"," "))</f>
        <v>1</v>
      </c>
      <c r="AI47" s="90" t="str">
        <f>IF(OR(H47="Х",H47="св")," ",IF(AND(I47&gt;=0,I47&lt;3),"1"," "))</f>
        <v>1</v>
      </c>
      <c r="AJ47" s="90" t="str">
        <f>IF(OR(J47="Х",J47="св")," ",IF(AND(K47&gt;=0,K47&lt;3),"1"," "))</f>
        <v>1</v>
      </c>
      <c r="AK47" s="90" t="str">
        <f>IF(OR(L47="Х",L47="св")," ",IF(AND(M47&gt;=0,M47&lt;3),"1"," "))</f>
        <v>1</v>
      </c>
      <c r="AL47" s="90" t="str">
        <f>IF(OR(N47="Х",N47="св")," ",IF(AND(O47&gt;=0,O47&lt;3),"1"," "))</f>
        <v>1</v>
      </c>
      <c r="AM47" s="90" t="str">
        <f>IF(OR(P47="Х",P47="св")," ",IF(AND(Q47&gt;=0,Q47&lt;3),"1"," "))</f>
        <v>1</v>
      </c>
      <c r="AN47" s="90" t="str">
        <f>IF(OR(R47="Х",R47="св")," ",IF(AND(S47&gt;=0,S47&lt;3),"1"," "))</f>
        <v>1</v>
      </c>
      <c r="AO47" s="90" t="str">
        <f>IF(OR(T47="Х",T47="св")," ",IF(AND(U47&gt;=0,U47&lt;3),"1"," "))</f>
        <v>1</v>
      </c>
      <c r="AP47" s="90">
        <f>COUNTIF(AH47:AO48,1)</f>
        <v>8</v>
      </c>
      <c r="AQ47" s="90">
        <f>AG47-AC47</f>
        <v>1280</v>
      </c>
      <c r="AR47" s="144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0" t="str">
        <f>COUNTIF(AG$6:AG$134,"&gt;"&amp;AG$6:AG$134)+1&amp;REPT("-"&amp;COUNTIF(AG$6:AG$134,"&gt;="&amp;AG$6:AG$134),COUNTIF(AG$6:AG$134,AG47)&gt;1)</f>
        <v>1-24</v>
      </c>
      <c r="AT47" s="143" t="str">
        <f t="shared" ref="AT47:AW47" si="26">COUNTIF(AU$6:AU$134,"&gt;"&amp;AU$6:AU$134)+1&amp;REPT("-"&amp;COUNTIF(AU$6:AU$134,"&gt;="&amp;AU$6:AU$134),COUNTIF(AU$6:AU$134,AU47)&gt;1)</f>
        <v>1-64</v>
      </c>
      <c r="AU47" s="143" t="str">
        <f t="shared" si="26"/>
        <v>1-0</v>
      </c>
      <c r="AV47" s="143" t="str">
        <f t="shared" si="26"/>
        <v>1</v>
      </c>
      <c r="AW47" s="143" t="str">
        <f t="shared" si="26"/>
        <v>44</v>
      </c>
      <c r="AX47" s="145">
        <f>IF(X47="Х","Х",IF(Y47&lt;3,B47,"Х"))</f>
        <v>21</v>
      </c>
      <c r="AY47" s="222" t="s">
        <v>195</v>
      </c>
      <c r="AZ47" s="152"/>
      <c r="BA47" s="222" t="s">
        <v>195</v>
      </c>
      <c r="BB47" s="146"/>
      <c r="BC47" s="49" t="s">
        <v>195</v>
      </c>
      <c r="BD47" s="225"/>
      <c r="BE47" s="49" t="s">
        <v>195</v>
      </c>
      <c r="BF47" s="224"/>
      <c r="BG47" s="49" t="s">
        <v>195</v>
      </c>
      <c r="BH47" s="49" t="s">
        <v>195</v>
      </c>
      <c r="BI47" s="49"/>
      <c r="BJ47" s="49"/>
      <c r="BK47" s="49"/>
      <c r="BL47" s="49"/>
      <c r="BM47" s="195">
        <v>21.0</v>
      </c>
      <c r="BN47" s="196">
        <v>22.0</v>
      </c>
      <c r="BO47" s="153">
        <f>IF(BM47&lt;BN47,BM47,"")</f>
        <v>21</v>
      </c>
      <c r="BP47" s="196">
        <v>21.0</v>
      </c>
      <c r="BQ47" s="197"/>
      <c r="BR47" s="198">
        <v>21.0</v>
      </c>
      <c r="BS47" s="196">
        <v>23.0</v>
      </c>
      <c r="BT47" s="175">
        <f>IF(BR47&lt;BS47,BR47,"")</f>
        <v>21</v>
      </c>
      <c r="BU47" s="196">
        <v>21.0</v>
      </c>
      <c r="BV47" s="196"/>
      <c r="BW47" s="199">
        <v>21.0</v>
      </c>
      <c r="BX47" s="74" t="s">
        <v>194</v>
      </c>
      <c r="BY47" s="160">
        <f t="array" ref="BY47">IF(BW47&lt;BX47,BW47,"")</f>
        <v>21</v>
      </c>
      <c r="BZ47" s="160">
        <f t="shared" si="17"/>
        <v>21</v>
      </c>
      <c r="CA47" s="74">
        <f>IFERROR(__xludf.DUMMYFUNCTION("""COMPUTED_VALUE"""),42.0)</f>
        <v>42</v>
      </c>
      <c r="CB47" s="74">
        <f t="shared" si="18"/>
        <v>42</v>
      </c>
      <c r="CC47" s="200"/>
      <c r="CD47" s="243"/>
      <c r="CE47" s="200">
        <v>21.0</v>
      </c>
      <c r="CF47" s="25" t="s">
        <v>194</v>
      </c>
      <c r="CG47" s="153">
        <f t="array" ref="CG47">IF(CE47&lt;CF47,CE47,"")</f>
        <v>21</v>
      </c>
      <c r="CH47" s="74">
        <v>21.0</v>
      </c>
      <c r="CI47" s="182">
        <f>IFERROR(__xludf.DUMMYFUNCTION("""COMPUTED_VALUE"""),42.0)</f>
        <v>42</v>
      </c>
      <c r="CJ47" s="93">
        <v>21.0</v>
      </c>
      <c r="CK47" s="233" t="s">
        <v>194</v>
      </c>
      <c r="CL47" s="153">
        <f t="array" ref="CL47">IF(CJ47&lt;CK47,CJ47,"")</f>
        <v>21</v>
      </c>
      <c r="CM47" s="49">
        <v>21.0</v>
      </c>
      <c r="CN47" s="49">
        <f>IFERROR(__xludf.DUMMYFUNCTION("""COMPUTED_VALUE"""),42.0)</f>
        <v>42</v>
      </c>
      <c r="CO47" s="74">
        <v>21.0</v>
      </c>
      <c r="CP47" s="200" t="s">
        <v>194</v>
      </c>
      <c r="CQ47" s="153">
        <f t="array" ref="CQ47">IF(CO47&lt;CP47,CO47,"")</f>
        <v>21</v>
      </c>
      <c r="CR47" s="93">
        <v>21.0</v>
      </c>
      <c r="CS47" s="234">
        <f>IFERROR(__xludf.DUMMYFUNCTION("""COMPUTED_VALUE"""),42.0)</f>
        <v>42</v>
      </c>
      <c r="CT47" s="200">
        <v>21.0</v>
      </c>
      <c r="CU47" s="74" t="s">
        <v>194</v>
      </c>
      <c r="CV47" s="153">
        <f t="array" ref="CV47">IF(CT47&lt;CU47,CT47,"")</f>
        <v>21</v>
      </c>
      <c r="CW47" s="49">
        <v>21.0</v>
      </c>
      <c r="CX47" s="49">
        <f>IFERROR(__xludf.DUMMYFUNCTION("""COMPUTED_VALUE"""),42.0)</f>
        <v>42</v>
      </c>
      <c r="CY47" s="200">
        <v>21.0</v>
      </c>
      <c r="CZ47" s="74" t="s">
        <v>194</v>
      </c>
      <c r="DA47" s="153">
        <f t="array" ref="DA47">IF(CY47&lt;CZ47,CY47,"")</f>
        <v>21</v>
      </c>
      <c r="DB47" s="49">
        <v>21.0</v>
      </c>
      <c r="DC47" s="49">
        <f>IFERROR(__xludf.DUMMYFUNCTION("""COMPUTED_VALUE"""),42.0)</f>
        <v>42</v>
      </c>
      <c r="DD47" s="49">
        <v>21.0</v>
      </c>
      <c r="DE47" s="49"/>
      <c r="DF47" s="49"/>
      <c r="DG47" s="49"/>
      <c r="DH47" s="49"/>
    </row>
    <row r="48" ht="13.5" customHeight="1">
      <c r="A48" s="118"/>
      <c r="B48" s="165"/>
      <c r="C48" s="165"/>
      <c r="D48" s="165"/>
      <c r="E48" s="165"/>
      <c r="F48" s="166"/>
      <c r="G48" s="167"/>
      <c r="H48" s="168"/>
      <c r="I48" s="167"/>
      <c r="J48" s="168"/>
      <c r="K48" s="167"/>
      <c r="L48" s="168"/>
      <c r="M48" s="167"/>
      <c r="N48" s="168"/>
      <c r="O48" s="167"/>
      <c r="P48" s="168"/>
      <c r="Q48" s="167"/>
      <c r="R48" s="168"/>
      <c r="S48" s="167"/>
      <c r="T48" s="168"/>
      <c r="U48" s="169"/>
      <c r="V48" s="168"/>
      <c r="W48" s="169"/>
      <c r="X48" s="168"/>
      <c r="Y48" s="167"/>
      <c r="Z48" s="168"/>
      <c r="AA48" s="167"/>
      <c r="AB48" s="166"/>
      <c r="AC48" s="165"/>
      <c r="AD48" s="168"/>
      <c r="AE48" s="170"/>
      <c r="AF48" s="171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Y48" s="227" t="s">
        <v>195</v>
      </c>
      <c r="AZ48" s="152"/>
      <c r="BA48" s="228" t="s">
        <v>195</v>
      </c>
      <c r="BB48" s="146"/>
      <c r="BC48" s="49" t="s">
        <v>195</v>
      </c>
      <c r="BD48" s="225"/>
      <c r="BE48" s="49" t="s">
        <v>195</v>
      </c>
      <c r="BF48" s="224"/>
      <c r="BG48" s="49" t="s">
        <v>195</v>
      </c>
      <c r="BH48" s="49" t="s">
        <v>195</v>
      </c>
      <c r="BI48" s="49"/>
      <c r="BJ48" s="49"/>
      <c r="BK48" s="49"/>
      <c r="BL48" s="49"/>
      <c r="BM48" s="178"/>
      <c r="BO48" s="175">
        <f>IF(BO47="","",BN47)</f>
        <v>22</v>
      </c>
      <c r="BP48" s="175">
        <v>22.0</v>
      </c>
      <c r="BQ48" s="197"/>
      <c r="BT48" s="175">
        <f>IF(BT47="","",BS47)</f>
        <v>23</v>
      </c>
      <c r="BU48" s="175">
        <v>23.0</v>
      </c>
      <c r="BV48" s="196"/>
      <c r="BW48" s="178"/>
      <c r="BY48" s="160" t="str">
        <f>IF(BY47="","",BX47)</f>
        <v> </v>
      </c>
      <c r="BZ48" s="160" t="str">
        <f t="shared" si="17"/>
        <v> </v>
      </c>
      <c r="CA48" s="200">
        <f>IFERROR(__xludf.DUMMYFUNCTION("""COMPUTED_VALUE"""),43.0)</f>
        <v>43</v>
      </c>
      <c r="CB48" s="74">
        <f t="shared" si="18"/>
        <v>43</v>
      </c>
      <c r="CC48" s="200"/>
      <c r="CD48" s="243"/>
      <c r="CG48" s="180" t="str">
        <f>IF(CG47="","",CF47)</f>
        <v> </v>
      </c>
      <c r="CH48" s="200" t="s">
        <v>194</v>
      </c>
      <c r="CI48" s="182">
        <f>IFERROR(__xludf.DUMMYFUNCTION("""COMPUTED_VALUE"""),43.0)</f>
        <v>43</v>
      </c>
      <c r="CJ48" s="49" t="s">
        <v>195</v>
      </c>
      <c r="CK48" s="235"/>
      <c r="CL48" s="180" t="str">
        <f>IF(CL47="","",CK47)</f>
        <v> </v>
      </c>
      <c r="CM48" s="49" t="s">
        <v>194</v>
      </c>
      <c r="CN48" s="49">
        <f>IFERROR(__xludf.DUMMYFUNCTION("""COMPUTED_VALUE"""),43.0)</f>
        <v>43</v>
      </c>
      <c r="CQ48" s="180" t="str">
        <f>IF(CQ47="","",CP47)</f>
        <v> </v>
      </c>
      <c r="CR48" s="49" t="s">
        <v>194</v>
      </c>
      <c r="CS48" s="234">
        <f>IFERROR(__xludf.DUMMYFUNCTION("""COMPUTED_VALUE"""),43.0)</f>
        <v>43</v>
      </c>
      <c r="CV48" s="180" t="str">
        <f>IF(CV47="","",CU47)</f>
        <v> </v>
      </c>
      <c r="CW48" s="49" t="s">
        <v>194</v>
      </c>
      <c r="CX48" s="49">
        <f>IFERROR(__xludf.DUMMYFUNCTION("""COMPUTED_VALUE"""),43.0)</f>
        <v>43</v>
      </c>
      <c r="DA48" s="180" t="str">
        <f>IF(DA47="","",CZ47)</f>
        <v> </v>
      </c>
      <c r="DB48" s="49" t="s">
        <v>194</v>
      </c>
      <c r="DC48" s="49">
        <f>IFERROR(__xludf.DUMMYFUNCTION("""COMPUTED_VALUE"""),43.0)</f>
        <v>43</v>
      </c>
      <c r="DD48" s="49" t="s">
        <v>195</v>
      </c>
      <c r="DE48" s="49"/>
      <c r="DF48" s="49"/>
      <c r="DG48" s="49"/>
      <c r="DH48" s="49"/>
    </row>
    <row r="49" ht="13.5" customHeight="1">
      <c r="A49" s="118"/>
      <c r="B49" s="187">
        <v>22.0</v>
      </c>
      <c r="C49" s="188" t="str">
        <f>(VLOOKUP($B49,'Пр.взв'!$D$6:$J$63,2,0))</f>
        <v>ЗУЕВА Наталья </v>
      </c>
      <c r="D49" s="189" t="str">
        <f>(VLOOKUP($B49,'Пр.взв'!$D$6:$J$63,5,0))</f>
        <v>КМС</v>
      </c>
      <c r="E49" s="190" t="str">
        <f>(VLOOKUP($B49,'Пр.взв'!$D$6:$M$63,8,0))</f>
        <v>Краснодарский</v>
      </c>
      <c r="F49" s="130">
        <v>21.0</v>
      </c>
      <c r="G49" s="131"/>
      <c r="H49" s="132">
        <v>24.0</v>
      </c>
      <c r="I49" s="131"/>
      <c r="J49" s="133" t="str">
        <f>IF(H49="Х","Х",IF($AC49&lt;6," ","Х"))</f>
        <v> </v>
      </c>
      <c r="K49" s="134"/>
      <c r="L49" s="133" t="str">
        <f>IF(J49="Х","Х",IF(K49&lt;3," ",IF($AC49&lt;6," ","Х")))</f>
        <v> </v>
      </c>
      <c r="M49" s="134"/>
      <c r="N49" s="133" t="str">
        <f>IF(L49="Х","Х",IF(M49&lt;3," ",IF($AC49&lt;6," ","Х")))</f>
        <v> </v>
      </c>
      <c r="O49" s="134"/>
      <c r="P49" s="133" t="str">
        <f>IF(N49="Х","Х",IF(O49&lt;3," ",IF($AC49&lt;6," ","Х")))</f>
        <v> </v>
      </c>
      <c r="Q49" s="134"/>
      <c r="R49" s="133" t="str">
        <f>IF(P49="Х","Х",IF(Q49&lt;3," ",IF($AC49&lt;6," ","Х")))</f>
        <v> </v>
      </c>
      <c r="S49" s="134"/>
      <c r="T49" s="133" t="str">
        <f>IF(R49="Х","Х",IF(S49&lt;3," ",IF($AC49&lt;6," ","Х")))</f>
        <v> </v>
      </c>
      <c r="U49" s="135"/>
      <c r="V49" s="133" t="str">
        <f>IF(T49="Х","Х",IF(U49&lt;3," ",IF($AC49&lt;6," ","Х")))</f>
        <v> </v>
      </c>
      <c r="W49" s="135"/>
      <c r="X49" s="133" t="str">
        <f>IF(V49="А1",$AZ$7,IF(V49="Б2",$AZ$6,IF(V49="Б1",$BA$7,IF(V49="А2",$BA$6,IF(V49="Х","Х",IF(V49&lt;6," "," "))))))</f>
        <v> </v>
      </c>
      <c r="Y49" s="136"/>
      <c r="Z49" s="133" t="str">
        <f>IF(V49="Х","Х",IF(ISBLANK(Y49),"",IF(Y49&gt;2.5," ",IF(B49=BB$6,BB$7,BB$6))))</f>
        <v/>
      </c>
      <c r="AA49" s="136"/>
      <c r="AB49" s="240" t="str">
        <f>IF(H49="Х",F$5,IF(J49="Х",H$5,IF(L49="Х",J$5,IF(N49="Х",L$5,IF(P49="Х",N$5,IF(R49="Х",P$5,IF(T49="Х",R$5,IF(X49="Х",T$5,""))))))))</f>
        <v/>
      </c>
      <c r="AC49" s="138">
        <f>SUM(G49+I49+K49+M49+O49+Q49+S49+U49+Y49+AA49)</f>
        <v>0</v>
      </c>
      <c r="AD49" s="241" t="str">
        <f>AF49</f>
        <v>1-24</v>
      </c>
      <c r="AE49" s="140" t="str">
        <f>AD49</f>
        <v>1-24</v>
      </c>
      <c r="AF49" s="141" t="str">
        <f>COUNTIF(AG$6:AG$148,"&gt;"&amp;AG$6:AG$148)+1&amp;REPT("-"&amp;COUNTIF(AG$6:AG$148,"&gt;="&amp;AG$6:AG$148),COUNTIF(AG$6:AG$148,AG49)&gt;1)</f>
        <v>1-24</v>
      </c>
      <c r="AG49" s="142">
        <f>(AR49*100)+(AP49*10)-AC49</f>
        <v>1280</v>
      </c>
      <c r="AH49" s="143" t="str">
        <f>IF(OR(F49="Х",F49="св")," ",IF(AND(G49&gt;=0,G49&lt;3),"1"," "))</f>
        <v>1</v>
      </c>
      <c r="AI49" s="90" t="str">
        <f>IF(OR(H49="Х",H49="св")," ",IF(AND(I49&gt;=0,I49&lt;3),"1"," "))</f>
        <v>1</v>
      </c>
      <c r="AJ49" s="90" t="str">
        <f>IF(OR(J49="Х",J49="св")," ",IF(AND(K49&gt;=0,K49&lt;3),"1"," "))</f>
        <v>1</v>
      </c>
      <c r="AK49" s="90" t="str">
        <f>IF(OR(L49="Х",L49="св")," ",IF(AND(M49&gt;=0,M49&lt;3),"1"," "))</f>
        <v>1</v>
      </c>
      <c r="AL49" s="90" t="str">
        <f>IF(OR(N49="Х",N49="св")," ",IF(AND(O49&gt;=0,O49&lt;3),"1"," "))</f>
        <v>1</v>
      </c>
      <c r="AM49" s="90" t="str">
        <f>IF(OR(P49="Х",P49="св")," ",IF(AND(Q49&gt;=0,Q49&lt;3),"1"," "))</f>
        <v>1</v>
      </c>
      <c r="AN49" s="90" t="str">
        <f>IF(OR(R49="Х",R49="св")," ",IF(AND(S49&gt;=0,S49&lt;3),"1"," "))</f>
        <v>1</v>
      </c>
      <c r="AO49" s="90" t="str">
        <f>IF(OR(T49="Х",T49="св")," ",IF(AND(U49&gt;=0,U49&lt;3),"1"," "))</f>
        <v>1</v>
      </c>
      <c r="AP49" s="90">
        <f>COUNTIF(AH49:AO50,1)</f>
        <v>8</v>
      </c>
      <c r="AQ49" s="90">
        <f>AG49-AC49</f>
        <v>1280</v>
      </c>
      <c r="AR49" s="144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0" t="str">
        <f>COUNTIF(AG$6:AG$134,"&gt;"&amp;AG$6:AG$134)+1&amp;REPT("-"&amp;COUNTIF(AG$6:AG$134,"&gt;="&amp;AG$6:AG$134),COUNTIF(AG$6:AG$134,AG49)&gt;1)</f>
        <v>1-24</v>
      </c>
      <c r="AT49" s="143" t="str">
        <f t="shared" ref="AT49:AW49" si="27">COUNTIF(AU$6:AU$134,"&gt;"&amp;AU$6:AU$134)+1&amp;REPT("-"&amp;COUNTIF(AU$6:AU$134,"&gt;="&amp;AU$6:AU$134),COUNTIF(AU$6:AU$134,AU49)&gt;1)</f>
        <v>1-64</v>
      </c>
      <c r="AU49" s="143" t="str">
        <f t="shared" si="27"/>
        <v>1-0</v>
      </c>
      <c r="AV49" s="143" t="str">
        <f t="shared" si="27"/>
        <v>1</v>
      </c>
      <c r="AW49" s="143" t="str">
        <f t="shared" si="27"/>
        <v>43</v>
      </c>
      <c r="AX49" s="145">
        <f>IF(X49="Х","Х",IF(Y49&lt;3,B49,"Х"))</f>
        <v>22</v>
      </c>
      <c r="AY49" s="222" t="s">
        <v>195</v>
      </c>
      <c r="AZ49" s="152"/>
      <c r="BA49" s="222" t="s">
        <v>195</v>
      </c>
      <c r="BD49" s="225"/>
      <c r="BE49" s="49" t="s">
        <v>195</v>
      </c>
      <c r="BF49" s="224"/>
      <c r="BG49" s="49" t="s">
        <v>195</v>
      </c>
      <c r="BH49" s="49" t="s">
        <v>195</v>
      </c>
      <c r="BI49" s="49"/>
      <c r="BJ49" s="49"/>
      <c r="BK49" s="49"/>
      <c r="BL49" s="49"/>
      <c r="BM49" s="195">
        <v>22.0</v>
      </c>
      <c r="BN49" s="196">
        <v>21.0</v>
      </c>
      <c r="BO49" s="153" t="str">
        <f>IF(BM49&lt;BN49,BM49,"")</f>
        <v/>
      </c>
      <c r="BP49" s="196" t="s">
        <v>195</v>
      </c>
      <c r="BQ49" s="197"/>
      <c r="BR49" s="198">
        <v>22.0</v>
      </c>
      <c r="BS49" s="196">
        <v>24.0</v>
      </c>
      <c r="BT49" s="175">
        <f>IF(BR49&lt;BS49,BR49,"")</f>
        <v>22</v>
      </c>
      <c r="BU49" s="196">
        <v>22.0</v>
      </c>
      <c r="BV49" s="196"/>
      <c r="BW49" s="199">
        <v>22.0</v>
      </c>
      <c r="BX49" s="74" t="s">
        <v>194</v>
      </c>
      <c r="BY49" s="160">
        <f t="array" ref="BY49">IF(BW49&lt;BX49,BW49,"")</f>
        <v>22</v>
      </c>
      <c r="BZ49" s="160">
        <f t="shared" si="17"/>
        <v>22</v>
      </c>
      <c r="CA49" s="74">
        <f>IFERROR(__xludf.DUMMYFUNCTION("""COMPUTED_VALUE"""),44.0)</f>
        <v>44</v>
      </c>
      <c r="CB49" s="74">
        <f t="shared" si="18"/>
        <v>44</v>
      </c>
      <c r="CC49" s="200"/>
      <c r="CD49" s="243"/>
      <c r="CE49" s="200">
        <v>22.0</v>
      </c>
      <c r="CF49" s="25" t="s">
        <v>194</v>
      </c>
      <c r="CG49" s="153">
        <f t="array" ref="CG49">IF(CE49&lt;CF49,CE49,"")</f>
        <v>22</v>
      </c>
      <c r="CH49" s="74">
        <v>22.0</v>
      </c>
      <c r="CI49" s="182">
        <f>IFERROR(__xludf.DUMMYFUNCTION("""COMPUTED_VALUE"""),44.0)</f>
        <v>44</v>
      </c>
      <c r="CJ49" s="93">
        <v>22.0</v>
      </c>
      <c r="CK49" s="233" t="s">
        <v>194</v>
      </c>
      <c r="CL49" s="153">
        <f t="array" ref="CL49">IF(CJ49&lt;CK49,CJ49,"")</f>
        <v>22</v>
      </c>
      <c r="CM49" s="49">
        <v>22.0</v>
      </c>
      <c r="CN49" s="49">
        <f>IFERROR(__xludf.DUMMYFUNCTION("""COMPUTED_VALUE"""),44.0)</f>
        <v>44</v>
      </c>
      <c r="CO49" s="74">
        <v>22.0</v>
      </c>
      <c r="CP49" s="200" t="s">
        <v>194</v>
      </c>
      <c r="CQ49" s="153">
        <f t="array" ref="CQ49">IF(CO49&lt;CP49,CO49,"")</f>
        <v>22</v>
      </c>
      <c r="CR49" s="93">
        <v>22.0</v>
      </c>
      <c r="CS49" s="234">
        <f>IFERROR(__xludf.DUMMYFUNCTION("""COMPUTED_VALUE"""),44.0)</f>
        <v>44</v>
      </c>
      <c r="CT49" s="200">
        <v>22.0</v>
      </c>
      <c r="CU49" s="74" t="s">
        <v>194</v>
      </c>
      <c r="CV49" s="153">
        <f t="array" ref="CV49">IF(CT49&lt;CU49,CT49,"")</f>
        <v>22</v>
      </c>
      <c r="CW49" s="49">
        <v>22.0</v>
      </c>
      <c r="CX49" s="49">
        <f>IFERROR(__xludf.DUMMYFUNCTION("""COMPUTED_VALUE"""),44.0)</f>
        <v>44</v>
      </c>
      <c r="CY49" s="200">
        <v>22.0</v>
      </c>
      <c r="CZ49" s="74" t="s">
        <v>194</v>
      </c>
      <c r="DA49" s="153">
        <f t="array" ref="DA49">IF(CY49&lt;CZ49,CY49,"")</f>
        <v>22</v>
      </c>
      <c r="DB49" s="49">
        <v>22.0</v>
      </c>
      <c r="DC49" s="49">
        <f>IFERROR(__xludf.DUMMYFUNCTION("""COMPUTED_VALUE"""),44.0)</f>
        <v>44</v>
      </c>
      <c r="DD49" s="49">
        <v>22.0</v>
      </c>
      <c r="DE49" s="49"/>
      <c r="DF49" s="49"/>
      <c r="DG49" s="49"/>
      <c r="DH49" s="49"/>
    </row>
    <row r="50" ht="13.5" customHeight="1">
      <c r="A50" s="118"/>
      <c r="B50" s="165"/>
      <c r="C50" s="165"/>
      <c r="D50" s="165"/>
      <c r="E50" s="165"/>
      <c r="F50" s="166"/>
      <c r="G50" s="167"/>
      <c r="H50" s="168"/>
      <c r="I50" s="167"/>
      <c r="J50" s="168"/>
      <c r="K50" s="167"/>
      <c r="L50" s="168"/>
      <c r="M50" s="167"/>
      <c r="N50" s="168"/>
      <c r="O50" s="167"/>
      <c r="P50" s="168"/>
      <c r="Q50" s="167"/>
      <c r="R50" s="168"/>
      <c r="S50" s="167"/>
      <c r="T50" s="168"/>
      <c r="U50" s="169"/>
      <c r="V50" s="168"/>
      <c r="W50" s="169"/>
      <c r="X50" s="168"/>
      <c r="Y50" s="167"/>
      <c r="Z50" s="168"/>
      <c r="AA50" s="167"/>
      <c r="AB50" s="166"/>
      <c r="AC50" s="165"/>
      <c r="AD50" s="168"/>
      <c r="AE50" s="170"/>
      <c r="AF50" s="171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Y50" s="146" t="s">
        <v>195</v>
      </c>
      <c r="AZ50" s="146"/>
      <c r="BA50" s="146" t="s">
        <v>195</v>
      </c>
      <c r="BB50" s="146"/>
      <c r="BC50" s="49" t="s">
        <v>195</v>
      </c>
      <c r="BD50" s="225"/>
      <c r="BE50" s="49" t="s">
        <v>195</v>
      </c>
      <c r="BF50" s="224"/>
      <c r="BG50" s="49" t="s">
        <v>195</v>
      </c>
      <c r="BH50" s="49" t="s">
        <v>195</v>
      </c>
      <c r="BI50" s="49"/>
      <c r="BJ50" s="49"/>
      <c r="BK50" s="49"/>
      <c r="BL50" s="49"/>
      <c r="BM50" s="178"/>
      <c r="BO50" s="175" t="str">
        <f>IF(BO49="","",BN49)</f>
        <v/>
      </c>
      <c r="BP50" s="175" t="s">
        <v>195</v>
      </c>
      <c r="BQ50" s="197"/>
      <c r="BT50" s="175">
        <f>IF(BT49="","",BS49)</f>
        <v>24</v>
      </c>
      <c r="BU50" s="175">
        <v>24.0</v>
      </c>
      <c r="BV50" s="196"/>
      <c r="BW50" s="178"/>
      <c r="BY50" s="160" t="str">
        <f>IF(BY49="","",BX49)</f>
        <v> </v>
      </c>
      <c r="BZ50" s="160" t="str">
        <f t="shared" si="17"/>
        <v> </v>
      </c>
      <c r="CA50" s="200">
        <f>IFERROR(__xludf.DUMMYFUNCTION("""COMPUTED_VALUE"""),45.0)</f>
        <v>45</v>
      </c>
      <c r="CB50" s="74">
        <f t="shared" si="18"/>
        <v>45</v>
      </c>
      <c r="CC50" s="200"/>
      <c r="CD50" s="243"/>
      <c r="CG50" s="180" t="str">
        <f>IF(CG49="","",CF49)</f>
        <v> </v>
      </c>
      <c r="CH50" s="200" t="s">
        <v>194</v>
      </c>
      <c r="CI50" s="182">
        <f>IFERROR(__xludf.DUMMYFUNCTION("""COMPUTED_VALUE"""),45.0)</f>
        <v>45</v>
      </c>
      <c r="CJ50" s="49" t="s">
        <v>195</v>
      </c>
      <c r="CK50" s="235"/>
      <c r="CL50" s="180" t="str">
        <f>IF(CL49="","",CK49)</f>
        <v> </v>
      </c>
      <c r="CM50" s="49" t="s">
        <v>194</v>
      </c>
      <c r="CN50" s="49">
        <f>IFERROR(__xludf.DUMMYFUNCTION("""COMPUTED_VALUE"""),45.0)</f>
        <v>45</v>
      </c>
      <c r="CQ50" s="180" t="str">
        <f>IF(CQ49="","",CP49)</f>
        <v> </v>
      </c>
      <c r="CR50" s="49" t="s">
        <v>194</v>
      </c>
      <c r="CS50" s="234">
        <f>IFERROR(__xludf.DUMMYFUNCTION("""COMPUTED_VALUE"""),45.0)</f>
        <v>45</v>
      </c>
      <c r="CV50" s="180" t="str">
        <f>IF(CV49="","",CU49)</f>
        <v> </v>
      </c>
      <c r="CW50" s="49" t="s">
        <v>194</v>
      </c>
      <c r="CX50" s="49">
        <f>IFERROR(__xludf.DUMMYFUNCTION("""COMPUTED_VALUE"""),45.0)</f>
        <v>45</v>
      </c>
      <c r="DA50" s="180" t="str">
        <f>IF(DA49="","",CZ49)</f>
        <v> </v>
      </c>
      <c r="DB50" s="49" t="s">
        <v>194</v>
      </c>
      <c r="DC50" s="49">
        <f>IFERROR(__xludf.DUMMYFUNCTION("""COMPUTED_VALUE"""),45.0)</f>
        <v>45</v>
      </c>
      <c r="DD50" s="49" t="s">
        <v>195</v>
      </c>
      <c r="DE50" s="49"/>
      <c r="DF50" s="49"/>
      <c r="DG50" s="49"/>
      <c r="DH50" s="49"/>
    </row>
    <row r="51" ht="13.5" customHeight="1">
      <c r="A51" s="118"/>
      <c r="B51" s="187">
        <v>23.0</v>
      </c>
      <c r="C51" s="188" t="str">
        <f>(VLOOKUP($B51,'Пр.взв'!$D$6:$J$63,2,0))</f>
        <v>БУКРЕЕВА Юлия</v>
      </c>
      <c r="D51" s="189" t="str">
        <f>(VLOOKUP($B51,'Пр.взв'!$D$6:$J$63,5,0))</f>
        <v>КМС</v>
      </c>
      <c r="E51" s="190" t="str">
        <f>(VLOOKUP($B51,'Пр.взв'!$D$6:$M$63,8,0))</f>
        <v>Новосибирская</v>
      </c>
      <c r="F51" s="130">
        <v>24.0</v>
      </c>
      <c r="G51" s="131"/>
      <c r="H51" s="132">
        <v>21.0</v>
      </c>
      <c r="I51" s="131"/>
      <c r="J51" s="133" t="str">
        <f>IF(H51="Х","Х",IF($AC51&lt;6," ","Х"))</f>
        <v> </v>
      </c>
      <c r="K51" s="134"/>
      <c r="L51" s="133" t="str">
        <f>IF(J51="Х","Х",IF(K51&lt;3," ",IF($AC51&lt;6," ","Х")))</f>
        <v> </v>
      </c>
      <c r="M51" s="134"/>
      <c r="N51" s="133" t="str">
        <f>IF(L51="Х","Х",IF(M51&lt;3," ",IF($AC51&lt;6," ","Х")))</f>
        <v> </v>
      </c>
      <c r="O51" s="134"/>
      <c r="P51" s="133" t="str">
        <f>IF(N51="Х","Х",IF(O51&lt;3," ",IF($AC51&lt;6," ","Х")))</f>
        <v> </v>
      </c>
      <c r="Q51" s="134"/>
      <c r="R51" s="133" t="str">
        <f>IF(P51="Х","Х",IF(Q51&lt;3," ",IF($AC51&lt;6," ","Х")))</f>
        <v> </v>
      </c>
      <c r="S51" s="134"/>
      <c r="T51" s="133" t="str">
        <f>IF(R51="Х","Х",IF(S51&lt;3," ",IF($AC51&lt;6," ","Х")))</f>
        <v> </v>
      </c>
      <c r="U51" s="135"/>
      <c r="V51" s="133" t="str">
        <f>IF(T51="Х","Х",IF(U51&lt;3," ",IF($AC51&lt;6," ","Х")))</f>
        <v> </v>
      </c>
      <c r="W51" s="135"/>
      <c r="X51" s="133" t="str">
        <f>IF(V51="А1",$AZ$7,IF(V51="Б2",$AZ$6,IF(V51="Б1",$BA$7,IF(V51="А2",$BA$6,IF(V51="Х","Х",IF(V51&lt;6," "," "))))))</f>
        <v> </v>
      </c>
      <c r="Y51" s="136"/>
      <c r="Z51" s="133" t="str">
        <f>IF(V51="Х","Х",IF(ISBLANK(Y51),"",IF(Y51&gt;2.5," ",IF(B51=BB$6,BB$7,BB$6))))</f>
        <v/>
      </c>
      <c r="AA51" s="136"/>
      <c r="AB51" s="240" t="str">
        <f>IF(H51="Х",F$5,IF(J51="Х",H$5,IF(L51="Х",J$5,IF(N51="Х",L$5,IF(P51="Х",N$5,IF(R51="Х",P$5,IF(T51="Х",R$5,IF(X51="Х",T$5,""))))))))</f>
        <v/>
      </c>
      <c r="AC51" s="138">
        <f>SUM(G51+I51+K51+M51+O51+Q51+S51+U51+Y51+AA51)</f>
        <v>0</v>
      </c>
      <c r="AD51" s="241" t="str">
        <f>AF51</f>
        <v>1-24</v>
      </c>
      <c r="AE51" s="140" t="str">
        <f>AD51</f>
        <v>1-24</v>
      </c>
      <c r="AF51" s="141" t="str">
        <f>COUNTIF(AG$6:AG$148,"&gt;"&amp;AG$6:AG$148)+1&amp;REPT("-"&amp;COUNTIF(AG$6:AG$148,"&gt;="&amp;AG$6:AG$148),COUNTIF(AG$6:AG$148,AG51)&gt;1)</f>
        <v>1-24</v>
      </c>
      <c r="AG51" s="142">
        <f>(AR51*100)+(AP51*10)-AC51</f>
        <v>1280</v>
      </c>
      <c r="AH51" s="143" t="str">
        <f>IF(OR(F51="Х",F51="св")," ",IF(AND(G51&gt;=0,G51&lt;3),"1"," "))</f>
        <v>1</v>
      </c>
      <c r="AI51" s="90" t="str">
        <f>IF(OR(H51="Х",H51="св")," ",IF(AND(I51&gt;=0,I51&lt;3),"1"," "))</f>
        <v>1</v>
      </c>
      <c r="AJ51" s="90" t="str">
        <f>IF(OR(J51="Х",J51="св")," ",IF(AND(K51&gt;=0,K51&lt;3),"1"," "))</f>
        <v>1</v>
      </c>
      <c r="AK51" s="90" t="str">
        <f>IF(OR(L51="Х",L51="св")," ",IF(AND(M51&gt;=0,M51&lt;3),"1"," "))</f>
        <v>1</v>
      </c>
      <c r="AL51" s="90" t="str">
        <f>IF(OR(N51="Х",N51="св")," ",IF(AND(O51&gt;=0,O51&lt;3),"1"," "))</f>
        <v>1</v>
      </c>
      <c r="AM51" s="90" t="str">
        <f>IF(OR(P51="Х",P51="св")," ",IF(AND(Q51&gt;=0,Q51&lt;3),"1"," "))</f>
        <v>1</v>
      </c>
      <c r="AN51" s="90" t="str">
        <f>IF(OR(R51="Х",R51="св")," ",IF(AND(S51&gt;=0,S51&lt;3),"1"," "))</f>
        <v>1</v>
      </c>
      <c r="AO51" s="90" t="str">
        <f>IF(OR(T51="Х",T51="св")," ",IF(AND(U51&gt;=0,U51&lt;3),"1"," "))</f>
        <v>1</v>
      </c>
      <c r="AP51" s="90">
        <f>COUNTIF(AH51:AO52,1)</f>
        <v>8</v>
      </c>
      <c r="AQ51" s="90">
        <f>AG51-AC51</f>
        <v>1280</v>
      </c>
      <c r="AR51" s="144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0" t="str">
        <f>COUNTIF(AG$6:AG$134,"&gt;"&amp;AG$6:AG$134)+1&amp;REPT("-"&amp;COUNTIF(AG$6:AG$134,"&gt;="&amp;AG$6:AG$134),COUNTIF(AG$6:AG$134,AG51)&gt;1)</f>
        <v>1-24</v>
      </c>
      <c r="AT51" s="143" t="str">
        <f t="shared" ref="AT51:AW51" si="28">COUNTIF(AU$6:AU$134,"&gt;"&amp;AU$6:AU$134)+1&amp;REPT("-"&amp;COUNTIF(AU$6:AU$134,"&gt;="&amp;AU$6:AU$134),COUNTIF(AU$6:AU$134,AU51)&gt;1)</f>
        <v>1-64</v>
      </c>
      <c r="AU51" s="143" t="str">
        <f t="shared" si="28"/>
        <v>1-0</v>
      </c>
      <c r="AV51" s="143" t="str">
        <f t="shared" si="28"/>
        <v>1</v>
      </c>
      <c r="AW51" s="143" t="str">
        <f t="shared" si="28"/>
        <v>42</v>
      </c>
      <c r="AX51" s="145">
        <f>IF(X51="Х","Х",IF(Y51&lt;3,B51,"Х"))</f>
        <v>23</v>
      </c>
      <c r="AY51" s="146" t="s">
        <v>195</v>
      </c>
      <c r="AZ51" s="146"/>
      <c r="BA51" s="146" t="s">
        <v>195</v>
      </c>
      <c r="BB51" s="146"/>
      <c r="BC51" s="49" t="s">
        <v>195</v>
      </c>
      <c r="BD51" s="225"/>
      <c r="BE51" s="49" t="s">
        <v>195</v>
      </c>
      <c r="BF51" s="224"/>
      <c r="BG51" s="49" t="s">
        <v>195</v>
      </c>
      <c r="BH51" s="49" t="s">
        <v>195</v>
      </c>
      <c r="BI51" s="49"/>
      <c r="BJ51" s="49"/>
      <c r="BK51" s="49"/>
      <c r="BL51" s="49"/>
      <c r="BM51" s="195">
        <v>23.0</v>
      </c>
      <c r="BN51" s="196">
        <v>24.0</v>
      </c>
      <c r="BO51" s="153">
        <f>IF(BM51&lt;BN51,BM51,"")</f>
        <v>23</v>
      </c>
      <c r="BP51" s="196">
        <v>23.0</v>
      </c>
      <c r="BQ51" s="197"/>
      <c r="BR51" s="198">
        <v>23.0</v>
      </c>
      <c r="BS51" s="196">
        <v>21.0</v>
      </c>
      <c r="BT51" s="175" t="str">
        <f>IF(BR51&lt;BS51,BR51,"")</f>
        <v/>
      </c>
      <c r="BU51" s="196" t="s">
        <v>195</v>
      </c>
      <c r="BV51" s="196"/>
      <c r="BW51" s="199">
        <v>23.0</v>
      </c>
      <c r="BX51" s="74" t="s">
        <v>194</v>
      </c>
      <c r="BY51" s="160">
        <f t="array" ref="BY51">IF(BW51&lt;BX51,BW51,"")</f>
        <v>23</v>
      </c>
      <c r="BZ51" s="160">
        <f t="shared" si="17"/>
        <v>23</v>
      </c>
      <c r="CA51" s="74">
        <f>IFERROR(__xludf.DUMMYFUNCTION("""COMPUTED_VALUE"""),46.0)</f>
        <v>46</v>
      </c>
      <c r="CB51" s="74">
        <f t="shared" si="18"/>
        <v>46</v>
      </c>
      <c r="CC51" s="200"/>
      <c r="CD51" s="243"/>
      <c r="CE51" s="200">
        <v>23.0</v>
      </c>
      <c r="CF51" s="25" t="s">
        <v>194</v>
      </c>
      <c r="CG51" s="153">
        <f t="array" ref="CG51">IF(CE51&lt;CF51,CE51,"")</f>
        <v>23</v>
      </c>
      <c r="CH51" s="74">
        <v>23.0</v>
      </c>
      <c r="CI51" s="182">
        <f>IFERROR(__xludf.DUMMYFUNCTION("""COMPUTED_VALUE"""),46.0)</f>
        <v>46</v>
      </c>
      <c r="CJ51" s="93">
        <v>23.0</v>
      </c>
      <c r="CK51" s="233" t="s">
        <v>194</v>
      </c>
      <c r="CL51" s="153">
        <f t="array" ref="CL51">IF(CJ51&lt;CK51,CJ51,"")</f>
        <v>23</v>
      </c>
      <c r="CM51" s="49">
        <v>23.0</v>
      </c>
      <c r="CN51" s="49">
        <f>IFERROR(__xludf.DUMMYFUNCTION("""COMPUTED_VALUE"""),46.0)</f>
        <v>46</v>
      </c>
      <c r="CO51" s="74">
        <v>23.0</v>
      </c>
      <c r="CP51" s="200" t="s">
        <v>194</v>
      </c>
      <c r="CQ51" s="153">
        <f t="array" ref="CQ51">IF(CO51&lt;CP51,CO51,"")</f>
        <v>23</v>
      </c>
      <c r="CR51" s="93">
        <v>23.0</v>
      </c>
      <c r="CS51" s="234">
        <f>IFERROR(__xludf.DUMMYFUNCTION("""COMPUTED_VALUE"""),46.0)</f>
        <v>46</v>
      </c>
      <c r="CT51" s="200">
        <v>23.0</v>
      </c>
      <c r="CU51" s="74" t="s">
        <v>194</v>
      </c>
      <c r="CV51" s="153">
        <f t="array" ref="CV51">IF(CT51&lt;CU51,CT51,"")</f>
        <v>23</v>
      </c>
      <c r="CW51" s="49">
        <v>23.0</v>
      </c>
      <c r="CX51" s="49">
        <f>IFERROR(__xludf.DUMMYFUNCTION("""COMPUTED_VALUE"""),46.0)</f>
        <v>46</v>
      </c>
      <c r="CY51" s="200">
        <v>23.0</v>
      </c>
      <c r="CZ51" s="74" t="s">
        <v>194</v>
      </c>
      <c r="DA51" s="153">
        <f t="array" ref="DA51">IF(CY51&lt;CZ51,CY51,"")</f>
        <v>23</v>
      </c>
      <c r="DB51" s="49">
        <v>23.0</v>
      </c>
      <c r="DC51" s="49">
        <f>IFERROR(__xludf.DUMMYFUNCTION("""COMPUTED_VALUE"""),46.0)</f>
        <v>46</v>
      </c>
      <c r="DD51" s="49">
        <v>23.0</v>
      </c>
      <c r="DE51" s="49"/>
      <c r="DF51" s="49"/>
      <c r="DG51" s="49"/>
      <c r="DH51" s="49"/>
    </row>
    <row r="52" ht="13.5" customHeight="1">
      <c r="A52" s="118"/>
      <c r="B52" s="165"/>
      <c r="C52" s="165"/>
      <c r="D52" s="165"/>
      <c r="E52" s="165"/>
      <c r="F52" s="166"/>
      <c r="G52" s="167"/>
      <c r="H52" s="168"/>
      <c r="I52" s="167"/>
      <c r="J52" s="168"/>
      <c r="K52" s="167"/>
      <c r="L52" s="168"/>
      <c r="M52" s="167"/>
      <c r="N52" s="168"/>
      <c r="O52" s="167"/>
      <c r="P52" s="168"/>
      <c r="Q52" s="167"/>
      <c r="R52" s="168"/>
      <c r="S52" s="167"/>
      <c r="T52" s="168"/>
      <c r="U52" s="169"/>
      <c r="V52" s="168"/>
      <c r="W52" s="169"/>
      <c r="X52" s="168"/>
      <c r="Y52" s="167"/>
      <c r="Z52" s="168"/>
      <c r="AA52" s="167"/>
      <c r="AB52" s="166"/>
      <c r="AC52" s="165"/>
      <c r="AD52" s="168"/>
      <c r="AE52" s="170"/>
      <c r="AF52" s="171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Y52" s="146" t="s">
        <v>195</v>
      </c>
      <c r="AZ52" s="146"/>
      <c r="BA52" s="146" t="s">
        <v>195</v>
      </c>
      <c r="BB52" s="146"/>
      <c r="BC52" s="49" t="s">
        <v>195</v>
      </c>
      <c r="BD52" s="225"/>
      <c r="BE52" s="49" t="s">
        <v>195</v>
      </c>
      <c r="BF52" s="224"/>
      <c r="BG52" s="49" t="s">
        <v>195</v>
      </c>
      <c r="BH52" s="49" t="s">
        <v>195</v>
      </c>
      <c r="BI52" s="49"/>
      <c r="BJ52" s="49"/>
      <c r="BK52" s="49"/>
      <c r="BL52" s="49"/>
      <c r="BM52" s="178"/>
      <c r="BO52" s="175">
        <f>IF(BO51="","",BN51)</f>
        <v>24</v>
      </c>
      <c r="BP52" s="175">
        <v>24.0</v>
      </c>
      <c r="BQ52" s="197"/>
      <c r="BT52" s="175" t="str">
        <f>IF(BT51="","",BS51)</f>
        <v/>
      </c>
      <c r="BU52" s="175" t="s">
        <v>195</v>
      </c>
      <c r="BV52" s="196"/>
      <c r="BW52" s="178"/>
      <c r="BY52" s="160" t="str">
        <f>IF(BY51="","",BX51)</f>
        <v> </v>
      </c>
      <c r="BZ52" s="160" t="str">
        <f t="shared" si="17"/>
        <v> </v>
      </c>
      <c r="CA52" s="200">
        <f>IFERROR(__xludf.DUMMYFUNCTION("""COMPUTED_VALUE"""),47.0)</f>
        <v>47</v>
      </c>
      <c r="CB52" s="74">
        <f t="shared" si="18"/>
        <v>47</v>
      </c>
      <c r="CC52" s="200"/>
      <c r="CD52" s="243"/>
      <c r="CG52" s="180" t="str">
        <f>IF(CG51="","",CF51)</f>
        <v> </v>
      </c>
      <c r="CH52" s="200" t="s">
        <v>194</v>
      </c>
      <c r="CI52" s="182">
        <f>IFERROR(__xludf.DUMMYFUNCTION("""COMPUTED_VALUE"""),47.0)</f>
        <v>47</v>
      </c>
      <c r="CJ52" s="49" t="s">
        <v>195</v>
      </c>
      <c r="CK52" s="235"/>
      <c r="CL52" s="180" t="str">
        <f>IF(CL51="","",CK51)</f>
        <v> </v>
      </c>
      <c r="CM52" s="49" t="s">
        <v>194</v>
      </c>
      <c r="CN52" s="49">
        <f>IFERROR(__xludf.DUMMYFUNCTION("""COMPUTED_VALUE"""),47.0)</f>
        <v>47</v>
      </c>
      <c r="CQ52" s="180" t="str">
        <f>IF(CQ51="","",CP51)</f>
        <v> </v>
      </c>
      <c r="CR52" s="49" t="s">
        <v>194</v>
      </c>
      <c r="CS52" s="234">
        <f>IFERROR(__xludf.DUMMYFUNCTION("""COMPUTED_VALUE"""),47.0)</f>
        <v>47</v>
      </c>
      <c r="CV52" s="180" t="str">
        <f>IF(CV51="","",CU51)</f>
        <v> </v>
      </c>
      <c r="CW52" s="49" t="s">
        <v>194</v>
      </c>
      <c r="CX52" s="49">
        <f>IFERROR(__xludf.DUMMYFUNCTION("""COMPUTED_VALUE"""),47.0)</f>
        <v>47</v>
      </c>
      <c r="DA52" s="180" t="str">
        <f>IF(DA51="","",CZ51)</f>
        <v> </v>
      </c>
      <c r="DB52" s="49" t="s">
        <v>194</v>
      </c>
      <c r="DC52" s="49">
        <f>IFERROR(__xludf.DUMMYFUNCTION("""COMPUTED_VALUE"""),47.0)</f>
        <v>47</v>
      </c>
      <c r="DD52" s="49" t="s">
        <v>195</v>
      </c>
      <c r="DE52" s="49"/>
      <c r="DF52" s="49"/>
      <c r="DG52" s="49"/>
      <c r="DH52" s="49"/>
    </row>
    <row r="53" ht="13.5" customHeight="1">
      <c r="A53" s="118"/>
      <c r="B53" s="187">
        <v>24.0</v>
      </c>
      <c r="C53" s="188" t="str">
        <f>(VLOOKUP($B53,'Пр.взв'!$D$6:$J$63,2,0))</f>
        <v>БУРДИНА Анастасия</v>
      </c>
      <c r="D53" s="189" t="str">
        <f>(VLOOKUP($B53,'Пр.взв'!$D$6:$J$63,5,0))</f>
        <v>КМС</v>
      </c>
      <c r="E53" s="190" t="str">
        <f>(VLOOKUP($B53,'Пр.взв'!$D$6:$M$63,8,0))</f>
        <v>Пермский</v>
      </c>
      <c r="F53" s="130">
        <v>23.0</v>
      </c>
      <c r="G53" s="131"/>
      <c r="H53" s="132">
        <v>22.0</v>
      </c>
      <c r="I53" s="131"/>
      <c r="J53" s="133" t="str">
        <f>IF(H53="Х","Х",IF($AC53&lt;6," ","Х"))</f>
        <v> </v>
      </c>
      <c r="K53" s="134"/>
      <c r="L53" s="133" t="str">
        <f>IF(J53="Х","Х",IF(K53&lt;3," ",IF($AC53&lt;6," ","Х")))</f>
        <v> </v>
      </c>
      <c r="M53" s="134"/>
      <c r="N53" s="133" t="str">
        <f>IF(L53="Х","Х",IF(M53&lt;3," ",IF($AC53&lt;6," ","Х")))</f>
        <v> </v>
      </c>
      <c r="O53" s="134"/>
      <c r="P53" s="133" t="str">
        <f>IF(N53="Х","Х",IF(O53&lt;3," ",IF($AC53&lt;6," ","Х")))</f>
        <v> </v>
      </c>
      <c r="Q53" s="134"/>
      <c r="R53" s="133" t="str">
        <f>IF(P53="Х","Х",IF(Q53&lt;3," ",IF($AC53&lt;6," ","Х")))</f>
        <v> </v>
      </c>
      <c r="S53" s="134"/>
      <c r="T53" s="133" t="str">
        <f>IF(R53="Х","Х",IF(S53&lt;3," ",IF($AC53&lt;6," ","Х")))</f>
        <v> </v>
      </c>
      <c r="U53" s="135"/>
      <c r="V53" s="133" t="str">
        <f>IF(T53="Х","Х",IF(U53&lt;3," ",IF($AC53&lt;6," ","Х")))</f>
        <v> </v>
      </c>
      <c r="W53" s="135"/>
      <c r="X53" s="133" t="str">
        <f>IF(V53="А1",$AZ$7,IF(V53="Б2",$AZ$6,IF(V53="Б1",$BA$7,IF(V53="А2",$BA$6,IF(V53="Х","Х",IF(V53&lt;6," "," "))))))</f>
        <v> </v>
      </c>
      <c r="Y53" s="136"/>
      <c r="Z53" s="133" t="str">
        <f>IF(V53="Х","Х",IF(ISBLANK(Y53),"",IF(Y53&gt;2.5," ",IF(B53=BB$6,BB$7,BB$6))))</f>
        <v/>
      </c>
      <c r="AA53" s="136"/>
      <c r="AB53" s="240" t="str">
        <f>IF(H53="Х",F$5,IF(J53="Х",H$5,IF(L53="Х",J$5,IF(N53="Х",L$5,IF(P53="Х",N$5,IF(R53="Х",P$5,IF(T53="Х",R$5,IF(X53="Х",T$5,""))))))))</f>
        <v/>
      </c>
      <c r="AC53" s="138">
        <f>SUM(G53+I53+K53+M53+O53+Q53+S53+U53+Y53+AA53)</f>
        <v>0</v>
      </c>
      <c r="AD53" s="241" t="str">
        <f>AF53</f>
        <v>1-24</v>
      </c>
      <c r="AE53" s="140" t="str">
        <f>AD53</f>
        <v>1-24</v>
      </c>
      <c r="AF53" s="141" t="str">
        <f>COUNTIF(AG$6:AG$148,"&gt;"&amp;AG$6:AG$148)+1&amp;REPT("-"&amp;COUNTIF(AG$6:AG$148,"&gt;="&amp;AG$6:AG$148),COUNTIF(AG$6:AG$148,AG53)&gt;1)</f>
        <v>1-24</v>
      </c>
      <c r="AG53" s="142">
        <f>(AR53*100)+(AP53*10)-AC53</f>
        <v>1280</v>
      </c>
      <c r="AH53" s="143" t="str">
        <f>IF(OR(F53="Х",F53="св")," ",IF(AND(G53&gt;=0,G53&lt;3),"1"," "))</f>
        <v>1</v>
      </c>
      <c r="AI53" s="90" t="str">
        <f>IF(OR(H53="Х",H53="св")," ",IF(AND(I53&gt;=0,I53&lt;3),"1"," "))</f>
        <v>1</v>
      </c>
      <c r="AJ53" s="90" t="str">
        <f>IF(OR(J53="Х",J53="св")," ",IF(AND(K53&gt;=0,K53&lt;3),"1"," "))</f>
        <v>1</v>
      </c>
      <c r="AK53" s="90" t="str">
        <f>IF(OR(L53="Х",L53="св")," ",IF(AND(M53&gt;=0,M53&lt;3),"1"," "))</f>
        <v>1</v>
      </c>
      <c r="AL53" s="90" t="str">
        <f>IF(OR(N53="Х",N53="св")," ",IF(AND(O53&gt;=0,O53&lt;3),"1"," "))</f>
        <v>1</v>
      </c>
      <c r="AM53" s="90" t="str">
        <f>IF(OR(P53="Х",P53="св")," ",IF(AND(Q53&gt;=0,Q53&lt;3),"1"," "))</f>
        <v>1</v>
      </c>
      <c r="AN53" s="90" t="str">
        <f>IF(OR(R53="Х",R53="св")," ",IF(AND(S53&gt;=0,S53&lt;3),"1"," "))</f>
        <v>1</v>
      </c>
      <c r="AO53" s="90" t="str">
        <f>IF(OR(T53="Х",T53="св")," ",IF(AND(U53&gt;=0,U53&lt;3),"1"," "))</f>
        <v>1</v>
      </c>
      <c r="AP53" s="90">
        <f>COUNTIF(AH53:AO54,1)</f>
        <v>8</v>
      </c>
      <c r="AQ53" s="90">
        <f>AG53-AC53</f>
        <v>1280</v>
      </c>
      <c r="AR53" s="144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90" t="str">
        <f>COUNTIF(AG$6:AG$134,"&gt;"&amp;AG$6:AG$134)+1&amp;REPT("-"&amp;COUNTIF(AG$6:AG$134,"&gt;="&amp;AG$6:AG$134),COUNTIF(AG$6:AG$134,AG53)&gt;1)</f>
        <v>1-24</v>
      </c>
      <c r="AT53" s="143" t="str">
        <f t="shared" ref="AT53:AW53" si="29">COUNTIF(AU$6:AU$134,"&gt;"&amp;AU$6:AU$134)+1&amp;REPT("-"&amp;COUNTIF(AU$6:AU$134,"&gt;="&amp;AU$6:AU$134),COUNTIF(AU$6:AU$134,AU53)&gt;1)</f>
        <v>1-64</v>
      </c>
      <c r="AU53" s="143" t="str">
        <f t="shared" si="29"/>
        <v>1-0</v>
      </c>
      <c r="AV53" s="143" t="str">
        <f t="shared" si="29"/>
        <v>1</v>
      </c>
      <c r="AW53" s="143" t="str">
        <f t="shared" si="29"/>
        <v>41</v>
      </c>
      <c r="AX53" s="145">
        <f>IF(X53="Х","Х",IF(Y53&lt;3,B53,"Х"))</f>
        <v>24</v>
      </c>
      <c r="AY53" s="146" t="s">
        <v>195</v>
      </c>
      <c r="AZ53" s="146"/>
      <c r="BA53" s="146" t="s">
        <v>195</v>
      </c>
      <c r="BB53" s="146"/>
      <c r="BC53" s="49" t="s">
        <v>195</v>
      </c>
      <c r="BD53" s="225"/>
      <c r="BE53" s="49" t="s">
        <v>195</v>
      </c>
      <c r="BF53" s="224"/>
      <c r="BG53" s="49" t="s">
        <v>195</v>
      </c>
      <c r="BH53" s="49" t="s">
        <v>195</v>
      </c>
      <c r="BI53" s="49"/>
      <c r="BJ53" s="49"/>
      <c r="BK53" s="49"/>
      <c r="BL53" s="49"/>
      <c r="BM53" s="195">
        <v>24.0</v>
      </c>
      <c r="BN53" s="196">
        <v>23.0</v>
      </c>
      <c r="BO53" s="153" t="str">
        <f>IF(BM53&lt;BN53,BM53,"")</f>
        <v/>
      </c>
      <c r="BP53" s="196" t="s">
        <v>195</v>
      </c>
      <c r="BQ53" s="197"/>
      <c r="BR53" s="198">
        <v>24.0</v>
      </c>
      <c r="BS53" s="196">
        <v>22.0</v>
      </c>
      <c r="BT53" s="175" t="str">
        <f>IF(BR53&lt;BS53,BR53,"")</f>
        <v/>
      </c>
      <c r="BU53" s="196" t="s">
        <v>195</v>
      </c>
      <c r="BV53" s="196"/>
      <c r="BW53" s="199">
        <v>24.0</v>
      </c>
      <c r="BX53" s="74" t="s">
        <v>194</v>
      </c>
      <c r="BY53" s="160">
        <f t="array" ref="BY53">IF(BW53&lt;BX53,BW53,"")</f>
        <v>24</v>
      </c>
      <c r="BZ53" s="160">
        <f t="shared" si="17"/>
        <v>24</v>
      </c>
      <c r="CA53" s="74">
        <f>IFERROR(__xludf.DUMMYFUNCTION("""COMPUTED_VALUE"""),48.0)</f>
        <v>48</v>
      </c>
      <c r="CB53" s="74">
        <f t="shared" si="18"/>
        <v>48</v>
      </c>
      <c r="CC53" s="200"/>
      <c r="CD53" s="243"/>
      <c r="CE53" s="200">
        <v>24.0</v>
      </c>
      <c r="CF53" s="25" t="s">
        <v>194</v>
      </c>
      <c r="CG53" s="153">
        <f t="array" ref="CG53">IF(CE53&lt;CF53,CE53,"")</f>
        <v>24</v>
      </c>
      <c r="CH53" s="74">
        <v>24.0</v>
      </c>
      <c r="CI53" s="182">
        <f>IFERROR(__xludf.DUMMYFUNCTION("""COMPUTED_VALUE"""),48.0)</f>
        <v>48</v>
      </c>
      <c r="CJ53" s="93">
        <v>24.0</v>
      </c>
      <c r="CK53" s="233" t="s">
        <v>194</v>
      </c>
      <c r="CL53" s="153">
        <f t="array" ref="CL53">IF(CJ53&lt;CK53,CJ53,"")</f>
        <v>24</v>
      </c>
      <c r="CM53" s="49">
        <v>24.0</v>
      </c>
      <c r="CN53" s="49">
        <f>IFERROR(__xludf.DUMMYFUNCTION("""COMPUTED_VALUE"""),48.0)</f>
        <v>48</v>
      </c>
      <c r="CO53" s="74">
        <v>24.0</v>
      </c>
      <c r="CP53" s="200" t="s">
        <v>194</v>
      </c>
      <c r="CQ53" s="153">
        <f t="array" ref="CQ53">IF(CO53&lt;CP53,CO53,"")</f>
        <v>24</v>
      </c>
      <c r="CR53" s="93">
        <v>24.0</v>
      </c>
      <c r="CS53" s="234">
        <f>IFERROR(__xludf.DUMMYFUNCTION("""COMPUTED_VALUE"""),48.0)</f>
        <v>48</v>
      </c>
      <c r="CT53" s="200">
        <v>24.0</v>
      </c>
      <c r="CU53" s="74" t="s">
        <v>194</v>
      </c>
      <c r="CV53" s="153">
        <f t="array" ref="CV53">IF(CT53&lt;CU53,CT53,"")</f>
        <v>24</v>
      </c>
      <c r="CW53" s="49">
        <v>24.0</v>
      </c>
      <c r="CX53" s="49">
        <f>IFERROR(__xludf.DUMMYFUNCTION("""COMPUTED_VALUE"""),48.0)</f>
        <v>48</v>
      </c>
      <c r="CY53" s="200">
        <v>24.0</v>
      </c>
      <c r="CZ53" s="74" t="s">
        <v>194</v>
      </c>
      <c r="DA53" s="153">
        <f t="array" ref="DA53">IF(CY53&lt;CZ53,CY53,"")</f>
        <v>24</v>
      </c>
      <c r="DB53" s="49">
        <v>24.0</v>
      </c>
      <c r="DC53" s="49">
        <f>IFERROR(__xludf.DUMMYFUNCTION("""COMPUTED_VALUE"""),48.0)</f>
        <v>48</v>
      </c>
      <c r="DD53" s="49">
        <v>24.0</v>
      </c>
      <c r="DE53" s="49"/>
      <c r="DF53" s="49"/>
      <c r="DG53" s="49"/>
      <c r="DH53" s="49"/>
    </row>
    <row r="54" ht="13.5" customHeight="1">
      <c r="A54" s="118"/>
      <c r="B54" s="165"/>
      <c r="C54" s="165"/>
      <c r="D54" s="165"/>
      <c r="E54" s="165"/>
      <c r="F54" s="166"/>
      <c r="G54" s="167"/>
      <c r="H54" s="168"/>
      <c r="I54" s="167"/>
      <c r="J54" s="168"/>
      <c r="K54" s="167"/>
      <c r="L54" s="168"/>
      <c r="M54" s="167"/>
      <c r="N54" s="168"/>
      <c r="O54" s="167"/>
      <c r="P54" s="168"/>
      <c r="Q54" s="167"/>
      <c r="R54" s="168"/>
      <c r="S54" s="167"/>
      <c r="T54" s="168"/>
      <c r="U54" s="169"/>
      <c r="V54" s="168"/>
      <c r="W54" s="169"/>
      <c r="X54" s="168"/>
      <c r="Y54" s="167"/>
      <c r="Z54" s="168"/>
      <c r="AA54" s="167"/>
      <c r="AB54" s="166"/>
      <c r="AC54" s="165"/>
      <c r="AD54" s="168"/>
      <c r="AE54" s="170"/>
      <c r="AF54" s="171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Y54" s="146" t="s">
        <v>195</v>
      </c>
      <c r="AZ54" s="146"/>
      <c r="BA54" s="146" t="s">
        <v>195</v>
      </c>
      <c r="BB54" s="146"/>
      <c r="BC54" s="49" t="s">
        <v>195</v>
      </c>
      <c r="BD54" s="225"/>
      <c r="BE54" s="49" t="s">
        <v>195</v>
      </c>
      <c r="BF54" s="224"/>
      <c r="BG54" s="49" t="s">
        <v>195</v>
      </c>
      <c r="BH54" s="49" t="s">
        <v>195</v>
      </c>
      <c r="BI54" s="49"/>
      <c r="BJ54" s="49"/>
      <c r="BK54" s="49"/>
      <c r="BL54" s="49"/>
      <c r="BM54" s="178"/>
      <c r="BO54" s="175" t="str">
        <f>IF(BO53="","",BN53)</f>
        <v/>
      </c>
      <c r="BP54" s="175" t="s">
        <v>195</v>
      </c>
      <c r="BQ54" s="197"/>
      <c r="BT54" s="175" t="str">
        <f>IF(BT53="","",BS53)</f>
        <v/>
      </c>
      <c r="BU54" s="175" t="s">
        <v>195</v>
      </c>
      <c r="BV54" s="196"/>
      <c r="BW54" s="178"/>
      <c r="BY54" s="160" t="str">
        <f>IF(BY53="","",BX53)</f>
        <v> </v>
      </c>
      <c r="BZ54" s="160" t="str">
        <f t="shared" si="17"/>
        <v> </v>
      </c>
      <c r="CA54" s="200">
        <f>IFERROR(__xludf.DUMMYFUNCTION("""COMPUTED_VALUE"""),49.0)</f>
        <v>49</v>
      </c>
      <c r="CB54" s="74">
        <f t="shared" si="18"/>
        <v>49</v>
      </c>
      <c r="CC54" s="200"/>
      <c r="CD54" s="243"/>
      <c r="CG54" s="180" t="str">
        <f>IF(CG53="","",CF53)</f>
        <v> </v>
      </c>
      <c r="CH54" s="200" t="s">
        <v>194</v>
      </c>
      <c r="CI54" s="182">
        <f>IFERROR(__xludf.DUMMYFUNCTION("""COMPUTED_VALUE"""),49.0)</f>
        <v>49</v>
      </c>
      <c r="CJ54" s="49" t="s">
        <v>195</v>
      </c>
      <c r="CK54" s="235"/>
      <c r="CL54" s="180" t="str">
        <f>IF(CL53="","",CK53)</f>
        <v> </v>
      </c>
      <c r="CM54" s="49" t="s">
        <v>194</v>
      </c>
      <c r="CN54" s="49">
        <f>IFERROR(__xludf.DUMMYFUNCTION("""COMPUTED_VALUE"""),49.0)</f>
        <v>49</v>
      </c>
      <c r="CQ54" s="180" t="str">
        <f>IF(CQ53="","",CP53)</f>
        <v> </v>
      </c>
      <c r="CR54" s="49" t="s">
        <v>194</v>
      </c>
      <c r="CS54" s="234">
        <f>IFERROR(__xludf.DUMMYFUNCTION("""COMPUTED_VALUE"""),49.0)</f>
        <v>49</v>
      </c>
      <c r="CV54" s="180" t="str">
        <f>IF(CV53="","",CU53)</f>
        <v> </v>
      </c>
      <c r="CW54" s="49" t="s">
        <v>194</v>
      </c>
      <c r="CX54" s="49">
        <f>IFERROR(__xludf.DUMMYFUNCTION("""COMPUTED_VALUE"""),49.0)</f>
        <v>49</v>
      </c>
      <c r="DA54" s="180" t="str">
        <f>IF(DA53="","",CZ53)</f>
        <v> </v>
      </c>
      <c r="DB54" s="49" t="s">
        <v>194</v>
      </c>
      <c r="DC54" s="49">
        <f>IFERROR(__xludf.DUMMYFUNCTION("""COMPUTED_VALUE"""),49.0)</f>
        <v>49</v>
      </c>
      <c r="DD54" s="49" t="s">
        <v>195</v>
      </c>
      <c r="DE54" s="49"/>
      <c r="DF54" s="49"/>
      <c r="DG54" s="49"/>
      <c r="DH54" s="49"/>
    </row>
    <row r="55" ht="13.5" hidden="1" customHeight="1">
      <c r="A55" s="118"/>
      <c r="B55" s="187">
        <v>25.0</v>
      </c>
      <c r="C55" s="188" t="str">
        <f>(VLOOKUP($B55,'Пр.взв'!$D$6:$J$63,2,0))</f>
        <v>#N/A</v>
      </c>
      <c r="D55" s="189" t="str">
        <f>(VLOOKUP($B55,'Пр.взв'!$D$6:$J$63,5,0))</f>
        <v>#N/A</v>
      </c>
      <c r="E55" s="190" t="str">
        <f>(VLOOKUP($B55,'Пр.взв'!$D$6:$M$63,8,0))</f>
        <v>#N/A</v>
      </c>
      <c r="F55" s="130"/>
      <c r="G55" s="131"/>
      <c r="H55" s="132"/>
      <c r="I55" s="131"/>
      <c r="J55" s="133" t="str">
        <f>IF(H55="Х","Х",IF($AC55&lt;6," ","Х"))</f>
        <v> </v>
      </c>
      <c r="K55" s="134"/>
      <c r="L55" s="133" t="str">
        <f>IF(J55="Х","Х",IF(K55&lt;3," ",IF($AC55&lt;6," ","Х")))</f>
        <v> </v>
      </c>
      <c r="M55" s="134"/>
      <c r="N55" s="133" t="str">
        <f>IF(L55="Х","Х",IF(M55&lt;3," ",IF($AC55&lt;6," ","Х")))</f>
        <v> </v>
      </c>
      <c r="O55" s="134"/>
      <c r="P55" s="133" t="str">
        <f>IF(N55="Х","Х",IF(O55&lt;3," ",IF($AC55&lt;6," ","Х")))</f>
        <v> </v>
      </c>
      <c r="Q55" s="134"/>
      <c r="R55" s="133" t="str">
        <f>IF(P55="Х","Х",IF(Q55&lt;3," ",IF($AC55&lt;6," ","Х")))</f>
        <v> </v>
      </c>
      <c r="S55" s="134"/>
      <c r="T55" s="133" t="str">
        <f>IF(R55="Х","Х",IF(S55&lt;3," ",IF($AC55&lt;6," ","Х")))</f>
        <v> </v>
      </c>
      <c r="U55" s="135"/>
      <c r="V55" s="133" t="str">
        <f>IF(T55="Х","Х",IF(U55&lt;3," ",IF($AC55&lt;6," ","Х")))</f>
        <v> </v>
      </c>
      <c r="W55" s="135"/>
      <c r="X55" s="133" t="str">
        <f>IF(V55="А1",$AZ$7,IF(V55="Б2",$AZ$6,IF(V55="Б1",$BA$7,IF(V55="А2",$BA$6,IF(V55="Х","Х",IF(V55&lt;6," "," "))))))</f>
        <v> </v>
      </c>
      <c r="Y55" s="136"/>
      <c r="Z55" s="133" t="str">
        <f>IF(V55="Х","Х",IF(ISBLANK(Y55),"",IF(Y55&gt;2.5," ",IF(B55=BB$6,BB$7,BB$6))))</f>
        <v/>
      </c>
      <c r="AA55" s="136"/>
      <c r="AB55" s="240" t="str">
        <f>IF(H55="Х",F$5,IF(J55="Х",H$5,IF(L55="Х",J$5,IF(N55="Х",L$5,IF(P55="Х",N$5,IF(R55="Х",P$5,IF(T55="Х",R$5,IF(X55="Х",T$5,""))))))))</f>
        <v/>
      </c>
      <c r="AC55" s="138">
        <f>SUM(G55+I55+K55+M55+O55+Q55+S55+U55+Y55+AA55)</f>
        <v>0</v>
      </c>
      <c r="AD55" s="241" t="str">
        <f>AF55</f>
        <v>25-71</v>
      </c>
      <c r="AE55" s="140" t="str">
        <f>AD55</f>
        <v>25-71</v>
      </c>
      <c r="AF55" s="141" t="str">
        <f>COUNTIF(AG$6:AG$148,"&gt;"&amp;AG$6:AG$148)+1&amp;REPT("-"&amp;COUNTIF(AG$6:AG$148,"&gt;="&amp;AG$6:AG$148),COUNTIF(AG$6:AG$148,AG55)&gt;1)</f>
        <v>25-71</v>
      </c>
      <c r="AG55" s="142">
        <f>(AR55*100)+(AP55*10)-AC55</f>
        <v>80</v>
      </c>
      <c r="AH55" s="143" t="str">
        <f>IF(OR(F55="Х",F55="св")," ",IF(AND(G55&gt;=0,G55&lt;3),"1"," "))</f>
        <v>1</v>
      </c>
      <c r="AI55" s="90" t="str">
        <f>IF(OR(H55="Х",H55="св")," ",IF(AND(I55&gt;=0,I55&lt;3),"1"," "))</f>
        <v>1</v>
      </c>
      <c r="AJ55" s="90" t="str">
        <f>IF(OR(J55="Х",J55="св")," ",IF(AND(K55&gt;=0,K55&lt;3),"1"," "))</f>
        <v>1</v>
      </c>
      <c r="AK55" s="90" t="str">
        <f>IF(OR(L55="Х",L55="св")," ",IF(AND(M55&gt;=0,M55&lt;3),"1"," "))</f>
        <v>1</v>
      </c>
      <c r="AL55" s="90" t="str">
        <f>IF(OR(N55="Х",N55="св")," ",IF(AND(O55&gt;=0,O55&lt;3),"1"," "))</f>
        <v>1</v>
      </c>
      <c r="AM55" s="90" t="str">
        <f>IF(OR(P55="Х",P55="св")," ",IF(AND(Q55&gt;=0,Q55&lt;3),"1"," "))</f>
        <v>1</v>
      </c>
      <c r="AN55" s="90" t="str">
        <f>IF(OR(R55="Х",R55="св")," ",IF(AND(S55&gt;=0,S55&lt;3),"1"," "))</f>
        <v>1</v>
      </c>
      <c r="AO55" s="90" t="str">
        <f>IF(OR(T55="Х",T55="св")," ",IF(AND(U55&gt;=0,U55&lt;3),"1"," "))</f>
        <v>1</v>
      </c>
      <c r="AP55" s="90">
        <f>COUNTIF(AH55:AO56,1)</f>
        <v>8</v>
      </c>
      <c r="AQ55" s="90">
        <f>AG55-AC55</f>
        <v>80</v>
      </c>
      <c r="AR55" s="144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90" t="str">
        <f>COUNTIF(AG$6:AG$134,"&gt;"&amp;AG$6:AG$134)+1&amp;REPT("-"&amp;COUNTIF(AG$6:AG$134,"&gt;="&amp;AG$6:AG$134),COUNTIF(AG$6:AG$134,AG55)&gt;1)</f>
        <v>25-64</v>
      </c>
      <c r="AT55" s="143" t="str">
        <f t="shared" ref="AT55:AW55" si="30">COUNTIF(AU$6:AU$134,"&gt;"&amp;AU$6:AU$134)+1&amp;REPT("-"&amp;COUNTIF(AU$6:AU$134,"&gt;="&amp;AU$6:AU$134),COUNTIF(AU$6:AU$134,AU55)&gt;1)</f>
        <v>1-64</v>
      </c>
      <c r="AU55" s="143" t="str">
        <f t="shared" si="30"/>
        <v>1-0</v>
      </c>
      <c r="AV55" s="143" t="str">
        <f t="shared" si="30"/>
        <v>1</v>
      </c>
      <c r="AW55" s="143" t="str">
        <f t="shared" si="30"/>
        <v>40</v>
      </c>
      <c r="AX55" s="145">
        <f>IF(X55="Х","Х",IF(Y55&lt;3,B55,"Х"))</f>
        <v>25</v>
      </c>
      <c r="AY55" s="146" t="s">
        <v>195</v>
      </c>
      <c r="AZ55" s="146"/>
      <c r="BA55" s="146" t="s">
        <v>195</v>
      </c>
      <c r="BB55" s="146"/>
      <c r="BC55" s="49" t="s">
        <v>195</v>
      </c>
      <c r="BD55" s="225"/>
      <c r="BE55" s="49" t="s">
        <v>195</v>
      </c>
      <c r="BF55" s="224"/>
      <c r="BG55" s="49" t="s">
        <v>195</v>
      </c>
      <c r="BH55" s="49" t="s">
        <v>195</v>
      </c>
      <c r="BI55" s="49"/>
      <c r="BJ55" s="49"/>
      <c r="BK55" s="49"/>
      <c r="BL55" s="49"/>
      <c r="BM55" s="195">
        <v>25.0</v>
      </c>
      <c r="BN55" s="196"/>
      <c r="BO55" s="153" t="str">
        <f>IF(BM55&lt;BN55,BM55,"")</f>
        <v/>
      </c>
      <c r="BP55" s="196" t="s">
        <v>195</v>
      </c>
      <c r="BQ55" s="197"/>
      <c r="BR55" s="198" t="s">
        <v>195</v>
      </c>
      <c r="BS55" s="196"/>
      <c r="BT55" s="175" t="str">
        <f>IF(BR55&lt;BS55,BR55,"")</f>
        <v/>
      </c>
      <c r="BU55" s="196" t="s">
        <v>195</v>
      </c>
      <c r="BV55" s="196"/>
      <c r="BW55" s="199">
        <v>25.0</v>
      </c>
      <c r="BX55" s="74" t="s">
        <v>194</v>
      </c>
      <c r="BY55" s="160">
        <f t="array" ref="BY55">IF(BW55&lt;BX55,BW55,"")</f>
        <v>25</v>
      </c>
      <c r="BZ55" s="160">
        <f t="shared" si="17"/>
        <v>25</v>
      </c>
      <c r="CA55" s="74">
        <f>IFERROR(__xludf.DUMMYFUNCTION("""COMPUTED_VALUE"""),50.0)</f>
        <v>50</v>
      </c>
      <c r="CB55" s="74">
        <f t="shared" si="18"/>
        <v>50</v>
      </c>
      <c r="CC55" s="200"/>
      <c r="CD55" s="243"/>
      <c r="CE55" s="200">
        <v>25.0</v>
      </c>
      <c r="CF55" s="25" t="s">
        <v>194</v>
      </c>
      <c r="CG55" s="153">
        <f t="array" ref="CG55">IF(CE55&lt;CF55,CE55,"")</f>
        <v>25</v>
      </c>
      <c r="CH55" s="74">
        <v>25.0</v>
      </c>
      <c r="CI55" s="182">
        <f>IFERROR(__xludf.DUMMYFUNCTION("""COMPUTED_VALUE"""),50.0)</f>
        <v>50</v>
      </c>
      <c r="CJ55" s="93">
        <v>25.0</v>
      </c>
      <c r="CK55" s="233" t="s">
        <v>194</v>
      </c>
      <c r="CL55" s="153">
        <f t="array" ref="CL55">IF(CJ55&lt;CK55,CJ55,"")</f>
        <v>25</v>
      </c>
      <c r="CM55" s="49">
        <v>25.0</v>
      </c>
      <c r="CN55" s="49">
        <f>IFERROR(__xludf.DUMMYFUNCTION("""COMPUTED_VALUE"""),50.0)</f>
        <v>50</v>
      </c>
      <c r="CO55" s="74">
        <v>25.0</v>
      </c>
      <c r="CP55" s="200" t="s">
        <v>194</v>
      </c>
      <c r="CQ55" s="153">
        <f t="array" ref="CQ55">IF(CO55&lt;CP55,CO55,"")</f>
        <v>25</v>
      </c>
      <c r="CR55" s="93">
        <v>25.0</v>
      </c>
      <c r="CS55" s="234">
        <f>IFERROR(__xludf.DUMMYFUNCTION("""COMPUTED_VALUE"""),50.0)</f>
        <v>50</v>
      </c>
      <c r="CT55" s="200">
        <v>25.0</v>
      </c>
      <c r="CU55" s="74" t="s">
        <v>194</v>
      </c>
      <c r="CV55" s="153">
        <f t="array" ref="CV55">IF(CT55&lt;CU55,CT55,"")</f>
        <v>25</v>
      </c>
      <c r="CW55" s="49">
        <v>25.0</v>
      </c>
      <c r="CX55" s="49">
        <f>IFERROR(__xludf.DUMMYFUNCTION("""COMPUTED_VALUE"""),50.0)</f>
        <v>50</v>
      </c>
      <c r="CY55" s="200">
        <v>25.0</v>
      </c>
      <c r="CZ55" s="74" t="s">
        <v>194</v>
      </c>
      <c r="DA55" s="153">
        <f t="array" ref="DA55">IF(CY55&lt;CZ55,CY55,"")</f>
        <v>25</v>
      </c>
      <c r="DB55" s="49">
        <v>25.0</v>
      </c>
      <c r="DC55" s="49">
        <f>IFERROR(__xludf.DUMMYFUNCTION("""COMPUTED_VALUE"""),50.0)</f>
        <v>50</v>
      </c>
      <c r="DD55" s="49">
        <v>25.0</v>
      </c>
      <c r="DE55" s="49"/>
      <c r="DF55" s="49"/>
      <c r="DG55" s="49"/>
      <c r="DH55" s="49"/>
    </row>
    <row r="56" ht="13.5" hidden="1" customHeight="1">
      <c r="A56" s="118"/>
      <c r="B56" s="165"/>
      <c r="C56" s="165"/>
      <c r="D56" s="165"/>
      <c r="E56" s="165"/>
      <c r="F56" s="166"/>
      <c r="G56" s="167"/>
      <c r="H56" s="168"/>
      <c r="I56" s="167"/>
      <c r="J56" s="168"/>
      <c r="K56" s="167"/>
      <c r="L56" s="168"/>
      <c r="M56" s="167"/>
      <c r="N56" s="168"/>
      <c r="O56" s="167"/>
      <c r="P56" s="168"/>
      <c r="Q56" s="167"/>
      <c r="R56" s="168"/>
      <c r="S56" s="167"/>
      <c r="T56" s="168"/>
      <c r="U56" s="169"/>
      <c r="V56" s="168"/>
      <c r="W56" s="169"/>
      <c r="X56" s="168"/>
      <c r="Y56" s="167"/>
      <c r="Z56" s="168"/>
      <c r="AA56" s="167"/>
      <c r="AB56" s="166"/>
      <c r="AC56" s="165"/>
      <c r="AD56" s="168"/>
      <c r="AE56" s="170"/>
      <c r="AF56" s="171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Y56" s="146" t="s">
        <v>195</v>
      </c>
      <c r="AZ56" s="146"/>
      <c r="BA56" s="146" t="s">
        <v>195</v>
      </c>
      <c r="BB56" s="146"/>
      <c r="BC56" s="49" t="s">
        <v>195</v>
      </c>
      <c r="BD56" s="225"/>
      <c r="BE56" s="49" t="s">
        <v>195</v>
      </c>
      <c r="BF56" s="224"/>
      <c r="BG56" s="49" t="s">
        <v>195</v>
      </c>
      <c r="BH56" s="49" t="s">
        <v>195</v>
      </c>
      <c r="BI56" s="49"/>
      <c r="BJ56" s="49"/>
      <c r="BK56" s="49"/>
      <c r="BL56" s="49"/>
      <c r="BM56" s="178"/>
      <c r="BO56" s="175" t="str">
        <f>IF(BO55="","",BN55)</f>
        <v/>
      </c>
      <c r="BP56" s="175" t="s">
        <v>195</v>
      </c>
      <c r="BQ56" s="197"/>
      <c r="BT56" s="175" t="str">
        <f>IF(BT55="","",BS55)</f>
        <v/>
      </c>
      <c r="BU56" s="175" t="s">
        <v>195</v>
      </c>
      <c r="BV56" s="196"/>
      <c r="BW56" s="178"/>
      <c r="BY56" s="160" t="str">
        <f>IF(BY55="","",BX55)</f>
        <v> </v>
      </c>
      <c r="BZ56" s="160" t="str">
        <f t="shared" si="17"/>
        <v> </v>
      </c>
      <c r="CA56" s="200">
        <f>IFERROR(__xludf.DUMMYFUNCTION("""COMPUTED_VALUE"""),51.0)</f>
        <v>51</v>
      </c>
      <c r="CB56" s="74">
        <f t="shared" si="18"/>
        <v>51</v>
      </c>
      <c r="CC56" s="200"/>
      <c r="CD56" s="243"/>
      <c r="CG56" s="180" t="str">
        <f>IF(CG55="","",CF55)</f>
        <v> </v>
      </c>
      <c r="CH56" s="200" t="s">
        <v>194</v>
      </c>
      <c r="CI56" s="182">
        <f>IFERROR(__xludf.DUMMYFUNCTION("""COMPUTED_VALUE"""),51.0)</f>
        <v>51</v>
      </c>
      <c r="CJ56" s="49" t="s">
        <v>195</v>
      </c>
      <c r="CK56" s="235"/>
      <c r="CL56" s="180" t="str">
        <f>IF(CL55="","",CK55)</f>
        <v> </v>
      </c>
      <c r="CM56" s="49" t="s">
        <v>194</v>
      </c>
      <c r="CN56" s="49">
        <f>IFERROR(__xludf.DUMMYFUNCTION("""COMPUTED_VALUE"""),51.0)</f>
        <v>51</v>
      </c>
      <c r="CQ56" s="180" t="str">
        <f>IF(CQ55="","",CP55)</f>
        <v> </v>
      </c>
      <c r="CR56" s="49" t="s">
        <v>194</v>
      </c>
      <c r="CS56" s="234">
        <f>IFERROR(__xludf.DUMMYFUNCTION("""COMPUTED_VALUE"""),51.0)</f>
        <v>51</v>
      </c>
      <c r="CV56" s="180" t="str">
        <f>IF(CV55="","",CU55)</f>
        <v> </v>
      </c>
      <c r="CW56" s="49" t="s">
        <v>194</v>
      </c>
      <c r="CX56" s="49">
        <f>IFERROR(__xludf.DUMMYFUNCTION("""COMPUTED_VALUE"""),51.0)</f>
        <v>51</v>
      </c>
      <c r="DA56" s="180" t="str">
        <f>IF(DA55="","",CZ55)</f>
        <v> </v>
      </c>
      <c r="DB56" s="49" t="s">
        <v>194</v>
      </c>
      <c r="DC56" s="49">
        <f>IFERROR(__xludf.DUMMYFUNCTION("""COMPUTED_VALUE"""),51.0)</f>
        <v>51</v>
      </c>
      <c r="DD56" s="49" t="s">
        <v>195</v>
      </c>
      <c r="DE56" s="49"/>
      <c r="DF56" s="49"/>
      <c r="DG56" s="49"/>
      <c r="DH56" s="49"/>
    </row>
    <row r="57" ht="13.5" hidden="1" customHeight="1">
      <c r="A57" s="118"/>
      <c r="B57" s="187">
        <v>26.0</v>
      </c>
      <c r="C57" s="188" t="str">
        <f>(VLOOKUP($B57,'Пр.взв'!$D$6:$J$63,2,0))</f>
        <v>#N/A</v>
      </c>
      <c r="D57" s="189" t="str">
        <f>(VLOOKUP($B57,'Пр.взв'!$D$6:$J$63,5,0))</f>
        <v>#N/A</v>
      </c>
      <c r="E57" s="190" t="str">
        <f>(VLOOKUP($B57,'Пр.взв'!$D$6:$M$63,8,0))</f>
        <v>#N/A</v>
      </c>
      <c r="F57" s="130"/>
      <c r="G57" s="131"/>
      <c r="H57" s="132"/>
      <c r="I57" s="131"/>
      <c r="J57" s="133" t="str">
        <f>IF(H57="Х","Х",IF($AC57&lt;6," ","Х"))</f>
        <v> </v>
      </c>
      <c r="K57" s="134"/>
      <c r="L57" s="133" t="str">
        <f>IF(J57="Х","Х",IF(K57&lt;3," ",IF($AC57&lt;6," ","Х")))</f>
        <v> </v>
      </c>
      <c r="M57" s="134"/>
      <c r="N57" s="133" t="str">
        <f>IF(L57="Х","Х",IF(M57&lt;3," ",IF($AC57&lt;6," ","Х")))</f>
        <v> </v>
      </c>
      <c r="O57" s="134"/>
      <c r="P57" s="133" t="str">
        <f>IF(N57="Х","Х",IF(O57&lt;3," ",IF($AC57&lt;6," ","Х")))</f>
        <v> </v>
      </c>
      <c r="Q57" s="134"/>
      <c r="R57" s="133" t="str">
        <f>IF(P57="Х","Х",IF(Q57&lt;3," ",IF($AC57&lt;6," ","Х")))</f>
        <v> </v>
      </c>
      <c r="S57" s="134"/>
      <c r="T57" s="133" t="str">
        <f>IF(R57="Х","Х",IF(S57&lt;3," ",IF($AC57&lt;6," ","Х")))</f>
        <v> </v>
      </c>
      <c r="U57" s="135"/>
      <c r="V57" s="133" t="str">
        <f>IF(T57="Х","Х",IF(U57&lt;3," ",IF($AC57&lt;6," ","Х")))</f>
        <v> </v>
      </c>
      <c r="W57" s="135"/>
      <c r="X57" s="133" t="str">
        <f>IF(V57="А1",$AZ$7,IF(V57="Б2",$AZ$6,IF(V57="Б1",$BA$7,IF(V57="А2",$BA$6,IF(V57="Х","Х",IF(V57&lt;6," "," "))))))</f>
        <v> </v>
      </c>
      <c r="Y57" s="136"/>
      <c r="Z57" s="133" t="str">
        <f>IF(V57="Х","Х",IF(ISBLANK(Y57),"",IF(Y57&gt;2.5," ",IF(B57=BB$6,BB$7,BB$6))))</f>
        <v/>
      </c>
      <c r="AA57" s="136"/>
      <c r="AB57" s="240" t="str">
        <f>IF(H57="Х",F$5,IF(J57="Х",H$5,IF(L57="Х",J$5,IF(N57="Х",L$5,IF(P57="Х",N$5,IF(R57="Х",P$5,IF(T57="Х",R$5,IF(X57="Х",T$5,""))))))))</f>
        <v/>
      </c>
      <c r="AC57" s="138">
        <f>SUM(G57+I57+K57+M57+O57+Q57+S57+U57+Y57+AA57)</f>
        <v>0</v>
      </c>
      <c r="AD57" s="241" t="str">
        <f>AF57</f>
        <v>25-71</v>
      </c>
      <c r="AE57" s="140" t="str">
        <f>AD57</f>
        <v>25-71</v>
      </c>
      <c r="AF57" s="141" t="str">
        <f>COUNTIF(AG$6:AG$148,"&gt;"&amp;AG$6:AG$148)+1&amp;REPT("-"&amp;COUNTIF(AG$6:AG$148,"&gt;="&amp;AG$6:AG$148),COUNTIF(AG$6:AG$148,AG57)&gt;1)</f>
        <v>25-71</v>
      </c>
      <c r="AG57" s="142">
        <f>(AR57*100)+(AP57*10)-AC57</f>
        <v>80</v>
      </c>
      <c r="AH57" s="143" t="str">
        <f>IF(OR(F57="Х",F57="св")," ",IF(AND(G57&gt;=0,G57&lt;3),"1"," "))</f>
        <v>1</v>
      </c>
      <c r="AI57" s="90" t="str">
        <f>IF(OR(H57="Х",H57="св")," ",IF(AND(I57&gt;=0,I57&lt;3),"1"," "))</f>
        <v>1</v>
      </c>
      <c r="AJ57" s="90" t="str">
        <f>IF(OR(J57="Х",J57="св")," ",IF(AND(K57&gt;=0,K57&lt;3),"1"," "))</f>
        <v>1</v>
      </c>
      <c r="AK57" s="90" t="str">
        <f>IF(OR(L57="Х",L57="св")," ",IF(AND(M57&gt;=0,M57&lt;3),"1"," "))</f>
        <v>1</v>
      </c>
      <c r="AL57" s="90" t="str">
        <f>IF(OR(N57="Х",N57="св")," ",IF(AND(O57&gt;=0,O57&lt;3),"1"," "))</f>
        <v>1</v>
      </c>
      <c r="AM57" s="90" t="str">
        <f>IF(OR(P57="Х",P57="св")," ",IF(AND(Q57&gt;=0,Q57&lt;3),"1"," "))</f>
        <v>1</v>
      </c>
      <c r="AN57" s="90" t="str">
        <f>IF(OR(R57="Х",R57="св")," ",IF(AND(S57&gt;=0,S57&lt;3),"1"," "))</f>
        <v>1</v>
      </c>
      <c r="AO57" s="90" t="str">
        <f>IF(OR(T57="Х",T57="св")," ",IF(AND(U57&gt;=0,U57&lt;3),"1"," "))</f>
        <v>1</v>
      </c>
      <c r="AP57" s="90">
        <f>COUNTIF(AH57:AO58,1)</f>
        <v>8</v>
      </c>
      <c r="AQ57" s="90">
        <f>AG57-AC57</f>
        <v>80</v>
      </c>
      <c r="AR57" s="144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90" t="str">
        <f>COUNTIF(AG$6:AG$134,"&gt;"&amp;AG$6:AG$134)+1&amp;REPT("-"&amp;COUNTIF(AG$6:AG$134,"&gt;="&amp;AG$6:AG$134),COUNTIF(AG$6:AG$134,AG57)&gt;1)</f>
        <v>25-64</v>
      </c>
      <c r="AT57" s="143" t="str">
        <f t="shared" ref="AT57:AW57" si="31">COUNTIF(AU$6:AU$134,"&gt;"&amp;AU$6:AU$134)+1&amp;REPT("-"&amp;COUNTIF(AU$6:AU$134,"&gt;="&amp;AU$6:AU$134),COUNTIF(AU$6:AU$134,AU57)&gt;1)</f>
        <v>1-64</v>
      </c>
      <c r="AU57" s="143" t="str">
        <f t="shared" si="31"/>
        <v>1-0</v>
      </c>
      <c r="AV57" s="143" t="str">
        <f t="shared" si="31"/>
        <v>1</v>
      </c>
      <c r="AW57" s="143" t="str">
        <f t="shared" si="31"/>
        <v>39</v>
      </c>
      <c r="AX57" s="145">
        <f>IF(X57="Х","Х",IF(Y57&lt;3,B57,"Х"))</f>
        <v>26</v>
      </c>
      <c r="AY57" s="146" t="s">
        <v>195</v>
      </c>
      <c r="AZ57" s="146"/>
      <c r="BA57" s="146" t="s">
        <v>195</v>
      </c>
      <c r="BB57" s="146"/>
      <c r="BC57" s="49" t="s">
        <v>195</v>
      </c>
      <c r="BD57" s="225"/>
      <c r="BE57" s="49" t="s">
        <v>195</v>
      </c>
      <c r="BF57" s="224"/>
      <c r="BG57" s="49" t="s">
        <v>195</v>
      </c>
      <c r="BH57" s="49" t="s">
        <v>195</v>
      </c>
      <c r="BI57" s="49"/>
      <c r="BJ57" s="49"/>
      <c r="BK57" s="49"/>
      <c r="BL57" s="49"/>
      <c r="BM57" s="195">
        <v>26.0</v>
      </c>
      <c r="BN57" s="196"/>
      <c r="BO57" s="153" t="str">
        <f>IF(BM57&lt;BN57,BM57,"")</f>
        <v/>
      </c>
      <c r="BP57" s="196" t="s">
        <v>195</v>
      </c>
      <c r="BQ57" s="197"/>
      <c r="BR57" s="198" t="s">
        <v>195</v>
      </c>
      <c r="BS57" s="196"/>
      <c r="BT57" s="175" t="str">
        <f>IF(BR57&lt;BS57,BR57,"")</f>
        <v/>
      </c>
      <c r="BU57" s="196" t="s">
        <v>195</v>
      </c>
      <c r="BV57" s="196"/>
      <c r="BW57" s="199">
        <v>26.0</v>
      </c>
      <c r="BX57" s="74" t="s">
        <v>194</v>
      </c>
      <c r="BY57" s="160">
        <f t="array" ref="BY57">IF(BW57&lt;BX57,BW57,"")</f>
        <v>26</v>
      </c>
      <c r="BZ57" s="160">
        <f t="shared" si="17"/>
        <v>26</v>
      </c>
      <c r="CA57" s="74">
        <f>IFERROR(__xludf.DUMMYFUNCTION("""COMPUTED_VALUE"""),52.0)</f>
        <v>52</v>
      </c>
      <c r="CB57" s="74">
        <f t="shared" si="18"/>
        <v>52</v>
      </c>
      <c r="CC57" s="200"/>
      <c r="CD57" s="243"/>
      <c r="CE57" s="200">
        <v>26.0</v>
      </c>
      <c r="CF57" s="25" t="s">
        <v>194</v>
      </c>
      <c r="CG57" s="153">
        <f t="array" ref="CG57">IF(CE57&lt;CF57,CE57,"")</f>
        <v>26</v>
      </c>
      <c r="CH57" s="74">
        <v>26.0</v>
      </c>
      <c r="CI57" s="182">
        <f>IFERROR(__xludf.DUMMYFUNCTION("""COMPUTED_VALUE"""),52.0)</f>
        <v>52</v>
      </c>
      <c r="CJ57" s="93">
        <v>26.0</v>
      </c>
      <c r="CK57" s="233" t="s">
        <v>194</v>
      </c>
      <c r="CL57" s="153">
        <f t="array" ref="CL57">IF(CJ57&lt;CK57,CJ57,"")</f>
        <v>26</v>
      </c>
      <c r="CM57" s="49">
        <v>26.0</v>
      </c>
      <c r="CN57" s="49">
        <f>IFERROR(__xludf.DUMMYFUNCTION("""COMPUTED_VALUE"""),52.0)</f>
        <v>52</v>
      </c>
      <c r="CO57" s="74">
        <v>26.0</v>
      </c>
      <c r="CP57" s="200" t="s">
        <v>194</v>
      </c>
      <c r="CQ57" s="153">
        <f t="array" ref="CQ57">IF(CO57&lt;CP57,CO57,"")</f>
        <v>26</v>
      </c>
      <c r="CR57" s="93">
        <v>26.0</v>
      </c>
      <c r="CS57" s="234">
        <f>IFERROR(__xludf.DUMMYFUNCTION("""COMPUTED_VALUE"""),52.0)</f>
        <v>52</v>
      </c>
      <c r="CT57" s="200">
        <v>26.0</v>
      </c>
      <c r="CU57" s="74" t="s">
        <v>194</v>
      </c>
      <c r="CV57" s="153">
        <f t="array" ref="CV57">IF(CT57&lt;CU57,CT57,"")</f>
        <v>26</v>
      </c>
      <c r="CW57" s="49">
        <v>26.0</v>
      </c>
      <c r="CX57" s="49">
        <f>IFERROR(__xludf.DUMMYFUNCTION("""COMPUTED_VALUE"""),52.0)</f>
        <v>52</v>
      </c>
      <c r="CY57" s="200">
        <v>26.0</v>
      </c>
      <c r="CZ57" s="74" t="s">
        <v>194</v>
      </c>
      <c r="DA57" s="153">
        <f t="array" ref="DA57">IF(CY57&lt;CZ57,CY57,"")</f>
        <v>26</v>
      </c>
      <c r="DB57" s="49">
        <v>26.0</v>
      </c>
      <c r="DC57" s="49">
        <f>IFERROR(__xludf.DUMMYFUNCTION("""COMPUTED_VALUE"""),52.0)</f>
        <v>52</v>
      </c>
      <c r="DD57" s="49">
        <v>26.0</v>
      </c>
      <c r="DE57" s="49"/>
      <c r="DF57" s="49"/>
      <c r="DG57" s="49"/>
      <c r="DH57" s="49"/>
    </row>
    <row r="58" ht="13.5" hidden="1" customHeight="1">
      <c r="A58" s="118"/>
      <c r="B58" s="165"/>
      <c r="C58" s="165"/>
      <c r="D58" s="165"/>
      <c r="E58" s="165"/>
      <c r="F58" s="166"/>
      <c r="G58" s="167"/>
      <c r="H58" s="168"/>
      <c r="I58" s="167"/>
      <c r="J58" s="168"/>
      <c r="K58" s="167"/>
      <c r="L58" s="168"/>
      <c r="M58" s="167"/>
      <c r="N58" s="168"/>
      <c r="O58" s="167"/>
      <c r="P58" s="168"/>
      <c r="Q58" s="167"/>
      <c r="R58" s="168"/>
      <c r="S58" s="167"/>
      <c r="T58" s="168"/>
      <c r="U58" s="169"/>
      <c r="V58" s="168"/>
      <c r="W58" s="169"/>
      <c r="X58" s="168"/>
      <c r="Y58" s="167"/>
      <c r="Z58" s="168"/>
      <c r="AA58" s="167"/>
      <c r="AB58" s="166"/>
      <c r="AC58" s="165"/>
      <c r="AD58" s="168"/>
      <c r="AE58" s="170"/>
      <c r="AF58" s="171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Y58" s="146" t="s">
        <v>195</v>
      </c>
      <c r="AZ58" s="146"/>
      <c r="BA58" s="146" t="s">
        <v>195</v>
      </c>
      <c r="BB58" s="146"/>
      <c r="BC58" s="49" t="s">
        <v>195</v>
      </c>
      <c r="BD58" s="225"/>
      <c r="BE58" s="49" t="s">
        <v>195</v>
      </c>
      <c r="BF58" s="224"/>
      <c r="BG58" s="49" t="s">
        <v>195</v>
      </c>
      <c r="BH58" s="49" t="s">
        <v>195</v>
      </c>
      <c r="BI58" s="49"/>
      <c r="BJ58" s="49"/>
      <c r="BK58" s="49"/>
      <c r="BL58" s="49"/>
      <c r="BM58" s="178"/>
      <c r="BO58" s="175" t="str">
        <f>IF(BO57="","",BN57)</f>
        <v/>
      </c>
      <c r="BP58" s="175" t="s">
        <v>195</v>
      </c>
      <c r="BQ58" s="197"/>
      <c r="BT58" s="175" t="str">
        <f>IF(BT57="","",BS57)</f>
        <v/>
      </c>
      <c r="BU58" s="175" t="s">
        <v>195</v>
      </c>
      <c r="BV58" s="196"/>
      <c r="BW58" s="178"/>
      <c r="BY58" s="160" t="str">
        <f>IF(BY57="","",BX57)</f>
        <v> </v>
      </c>
      <c r="BZ58" s="160" t="str">
        <f t="shared" si="17"/>
        <v> </v>
      </c>
      <c r="CA58" s="200">
        <f>IFERROR(__xludf.DUMMYFUNCTION("""COMPUTED_VALUE"""),53.0)</f>
        <v>53</v>
      </c>
      <c r="CB58" s="74">
        <f t="shared" si="18"/>
        <v>53</v>
      </c>
      <c r="CC58" s="200"/>
      <c r="CD58" s="243"/>
      <c r="CG58" s="180" t="str">
        <f>IF(CG57="","",CF57)</f>
        <v> </v>
      </c>
      <c r="CH58" s="200" t="s">
        <v>194</v>
      </c>
      <c r="CI58" s="182">
        <f>IFERROR(__xludf.DUMMYFUNCTION("""COMPUTED_VALUE"""),53.0)</f>
        <v>53</v>
      </c>
      <c r="CJ58" s="49" t="s">
        <v>195</v>
      </c>
      <c r="CK58" s="235"/>
      <c r="CL58" s="180" t="str">
        <f>IF(CL57="","",CK57)</f>
        <v> </v>
      </c>
      <c r="CM58" s="49" t="s">
        <v>194</v>
      </c>
      <c r="CN58" s="49">
        <f>IFERROR(__xludf.DUMMYFUNCTION("""COMPUTED_VALUE"""),53.0)</f>
        <v>53</v>
      </c>
      <c r="CQ58" s="180" t="str">
        <f>IF(CQ57="","",CP57)</f>
        <v> </v>
      </c>
      <c r="CR58" s="49" t="s">
        <v>194</v>
      </c>
      <c r="CS58" s="234">
        <f>IFERROR(__xludf.DUMMYFUNCTION("""COMPUTED_VALUE"""),53.0)</f>
        <v>53</v>
      </c>
      <c r="CV58" s="180" t="str">
        <f>IF(CV57="","",CU57)</f>
        <v> </v>
      </c>
      <c r="CW58" s="49" t="s">
        <v>194</v>
      </c>
      <c r="CX58" s="49">
        <f>IFERROR(__xludf.DUMMYFUNCTION("""COMPUTED_VALUE"""),53.0)</f>
        <v>53</v>
      </c>
      <c r="DA58" s="180" t="str">
        <f>IF(DA57="","",CZ57)</f>
        <v> </v>
      </c>
      <c r="DB58" s="49" t="s">
        <v>194</v>
      </c>
      <c r="DC58" s="49">
        <f>IFERROR(__xludf.DUMMYFUNCTION("""COMPUTED_VALUE"""),53.0)</f>
        <v>53</v>
      </c>
      <c r="DD58" s="49" t="s">
        <v>195</v>
      </c>
      <c r="DE58" s="49"/>
      <c r="DF58" s="49"/>
      <c r="DG58" s="49"/>
      <c r="DH58" s="49"/>
    </row>
    <row r="59" ht="13.5" hidden="1" customHeight="1">
      <c r="A59" s="118"/>
      <c r="B59" s="187">
        <v>27.0</v>
      </c>
      <c r="C59" s="188" t="str">
        <f>(VLOOKUP($B59,'Пр.взв'!$D$6:$J$63,2,0))</f>
        <v>#N/A</v>
      </c>
      <c r="D59" s="189" t="str">
        <f>(VLOOKUP($B59,'Пр.взв'!$D$6:$J$63,5,0))</f>
        <v>#N/A</v>
      </c>
      <c r="E59" s="190" t="str">
        <f>(VLOOKUP($B59,'Пр.взв'!$D$6:$M$63,8,0))</f>
        <v>#N/A</v>
      </c>
      <c r="F59" s="130"/>
      <c r="G59" s="131"/>
      <c r="H59" s="132"/>
      <c r="I59" s="131"/>
      <c r="J59" s="133" t="str">
        <f>IF(H59="Х","Х",IF($AC59&lt;6," ","Х"))</f>
        <v> </v>
      </c>
      <c r="K59" s="134"/>
      <c r="L59" s="133" t="str">
        <f>IF(J59="Х","Х",IF(K59&lt;3," ",IF($AC59&lt;6," ","Х")))</f>
        <v> </v>
      </c>
      <c r="M59" s="134"/>
      <c r="N59" s="133" t="str">
        <f>IF(L59="Х","Х",IF(M59&lt;3," ",IF($AC59&lt;6," ","Х")))</f>
        <v> </v>
      </c>
      <c r="O59" s="134"/>
      <c r="P59" s="133" t="str">
        <f>IF(N59="Х","Х",IF(O59&lt;3," ",IF($AC59&lt;6," ","Х")))</f>
        <v> </v>
      </c>
      <c r="Q59" s="134"/>
      <c r="R59" s="133" t="str">
        <f>IF(P59="Х","Х",IF(Q59&lt;3," ",IF($AC59&lt;6," ","Х")))</f>
        <v> </v>
      </c>
      <c r="S59" s="134"/>
      <c r="T59" s="133" t="str">
        <f>IF(R59="Х","Х",IF(S59&lt;3," ",IF($AC59&lt;6," ","Х")))</f>
        <v> </v>
      </c>
      <c r="U59" s="135"/>
      <c r="V59" s="133" t="str">
        <f>IF(T59="Х","Х",IF(U59&lt;3," ",IF($AC59&lt;6," ","Х")))</f>
        <v> </v>
      </c>
      <c r="W59" s="135"/>
      <c r="X59" s="133" t="str">
        <f>IF(V59="А1",$AZ$7,IF(V59="Б2",$AZ$6,IF(V59="Б1",$BA$7,IF(V59="А2",$BA$6,IF(V59="Х","Х",IF(V59&lt;6," "," "))))))</f>
        <v> </v>
      </c>
      <c r="Y59" s="136"/>
      <c r="Z59" s="133" t="str">
        <f>IF(V59="Х","Х",IF(ISBLANK(Y59),"",IF(Y59&gt;2.5," ",IF(B59=BB$6,BB$7,BB$6))))</f>
        <v/>
      </c>
      <c r="AA59" s="136"/>
      <c r="AB59" s="240" t="str">
        <f>IF(H59="Х",F$5,IF(J59="Х",H$5,IF(L59="Х",J$5,IF(N59="Х",L$5,IF(P59="Х",N$5,IF(R59="Х",P$5,IF(T59="Х",R$5,IF(X59="Х",T$5,""))))))))</f>
        <v/>
      </c>
      <c r="AC59" s="138">
        <f>SUM(G59+I59+K59+M59+O59+Q59+S59+U59+Y59+AA59)</f>
        <v>0</v>
      </c>
      <c r="AD59" s="241" t="str">
        <f>AF59</f>
        <v>25-71</v>
      </c>
      <c r="AE59" s="140" t="str">
        <f>AD59</f>
        <v>25-71</v>
      </c>
      <c r="AF59" s="141" t="str">
        <f>COUNTIF(AG$6:AG$148,"&gt;"&amp;AG$6:AG$148)+1&amp;REPT("-"&amp;COUNTIF(AG$6:AG$148,"&gt;="&amp;AG$6:AG$148),COUNTIF(AG$6:AG$148,AG59)&gt;1)</f>
        <v>25-71</v>
      </c>
      <c r="AG59" s="142">
        <f>(AR59*100)+(AP59*10)-AC59</f>
        <v>80</v>
      </c>
      <c r="AH59" s="143" t="str">
        <f>IF(OR(F59="Х",F59="св")," ",IF(AND(G59&gt;=0,G59&lt;3),"1"," "))</f>
        <v>1</v>
      </c>
      <c r="AI59" s="90" t="str">
        <f>IF(OR(H59="Х",H59="св")," ",IF(AND(I59&gt;=0,I59&lt;3),"1"," "))</f>
        <v>1</v>
      </c>
      <c r="AJ59" s="90" t="str">
        <f>IF(OR(J59="Х",J59="св")," ",IF(AND(K59&gt;=0,K59&lt;3),"1"," "))</f>
        <v>1</v>
      </c>
      <c r="AK59" s="90" t="str">
        <f>IF(OR(L59="Х",L59="св")," ",IF(AND(M59&gt;=0,M59&lt;3),"1"," "))</f>
        <v>1</v>
      </c>
      <c r="AL59" s="90" t="str">
        <f>IF(OR(N59="Х",N59="св")," ",IF(AND(O59&gt;=0,O59&lt;3),"1"," "))</f>
        <v>1</v>
      </c>
      <c r="AM59" s="90" t="str">
        <f>IF(OR(P59="Х",P59="св")," ",IF(AND(Q59&gt;=0,Q59&lt;3),"1"," "))</f>
        <v>1</v>
      </c>
      <c r="AN59" s="90" t="str">
        <f>IF(OR(R59="Х",R59="св")," ",IF(AND(S59&gt;=0,S59&lt;3),"1"," "))</f>
        <v>1</v>
      </c>
      <c r="AO59" s="90" t="str">
        <f>IF(OR(T59="Х",T59="св")," ",IF(AND(U59&gt;=0,U59&lt;3),"1"," "))</f>
        <v>1</v>
      </c>
      <c r="AP59" s="90">
        <f>COUNTIF(AH59:AO60,1)</f>
        <v>8</v>
      </c>
      <c r="AQ59" s="90">
        <f>AG59-AC59</f>
        <v>80</v>
      </c>
      <c r="AR59" s="144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90" t="str">
        <f>COUNTIF(AG$6:AG$134,"&gt;"&amp;AG$6:AG$134)+1&amp;REPT("-"&amp;COUNTIF(AG$6:AG$134,"&gt;="&amp;AG$6:AG$134),COUNTIF(AG$6:AG$134,AG59)&gt;1)</f>
        <v>25-64</v>
      </c>
      <c r="AT59" s="143" t="str">
        <f t="shared" ref="AT59:AW59" si="32">COUNTIF(AU$6:AU$134,"&gt;"&amp;AU$6:AU$134)+1&amp;REPT("-"&amp;COUNTIF(AU$6:AU$134,"&gt;="&amp;AU$6:AU$134),COUNTIF(AU$6:AU$134,AU59)&gt;1)</f>
        <v>1-64</v>
      </c>
      <c r="AU59" s="143" t="str">
        <f t="shared" si="32"/>
        <v>1-0</v>
      </c>
      <c r="AV59" s="143" t="str">
        <f t="shared" si="32"/>
        <v>1</v>
      </c>
      <c r="AW59" s="143" t="str">
        <f t="shared" si="32"/>
        <v>38</v>
      </c>
      <c r="AX59" s="145">
        <f>IF(X59="Х","Х",IF(Y59&lt;3,B59,"Х"))</f>
        <v>27</v>
      </c>
      <c r="AY59" s="146" t="s">
        <v>195</v>
      </c>
      <c r="AZ59" s="146"/>
      <c r="BA59" s="146" t="s">
        <v>195</v>
      </c>
      <c r="BB59" s="146"/>
      <c r="BC59" s="49" t="s">
        <v>195</v>
      </c>
      <c r="BD59" s="225"/>
      <c r="BE59" s="49" t="s">
        <v>195</v>
      </c>
      <c r="BF59" s="224"/>
      <c r="BG59" s="49" t="s">
        <v>195</v>
      </c>
      <c r="BH59" s="49" t="s">
        <v>195</v>
      </c>
      <c r="BI59" s="49"/>
      <c r="BJ59" s="49"/>
      <c r="BK59" s="49"/>
      <c r="BL59" s="49"/>
      <c r="BM59" s="195">
        <v>27.0</v>
      </c>
      <c r="BN59" s="196"/>
      <c r="BO59" s="153" t="str">
        <f>IF(BM59&lt;BN59,BM59,"")</f>
        <v/>
      </c>
      <c r="BP59" s="196" t="s">
        <v>195</v>
      </c>
      <c r="BQ59" s="197"/>
      <c r="BR59" s="198" t="s">
        <v>195</v>
      </c>
      <c r="BS59" s="196"/>
      <c r="BT59" s="175" t="str">
        <f>IF(BR59&lt;BS59,BR59,"")</f>
        <v/>
      </c>
      <c r="BU59" s="196" t="s">
        <v>195</v>
      </c>
      <c r="BV59" s="196"/>
      <c r="BW59" s="199">
        <v>27.0</v>
      </c>
      <c r="BX59" s="74" t="s">
        <v>194</v>
      </c>
      <c r="BY59" s="160">
        <f t="array" ref="BY59">IF(BW59&lt;BX59,BW59,"")</f>
        <v>27</v>
      </c>
      <c r="BZ59" s="160">
        <f t="shared" si="17"/>
        <v>27</v>
      </c>
      <c r="CA59" s="74">
        <f>IFERROR(__xludf.DUMMYFUNCTION("""COMPUTED_VALUE"""),54.0)</f>
        <v>54</v>
      </c>
      <c r="CB59" s="74">
        <f t="shared" si="18"/>
        <v>54</v>
      </c>
      <c r="CC59" s="200"/>
      <c r="CD59" s="243"/>
      <c r="CE59" s="200">
        <v>27.0</v>
      </c>
      <c r="CF59" s="25" t="s">
        <v>194</v>
      </c>
      <c r="CG59" s="153">
        <f t="array" ref="CG59">IF(CE59&lt;CF59,CE59,"")</f>
        <v>27</v>
      </c>
      <c r="CH59" s="74">
        <v>27.0</v>
      </c>
      <c r="CI59" s="182">
        <f>IFERROR(__xludf.DUMMYFUNCTION("""COMPUTED_VALUE"""),54.0)</f>
        <v>54</v>
      </c>
      <c r="CJ59" s="93">
        <v>27.0</v>
      </c>
      <c r="CK59" s="233" t="s">
        <v>194</v>
      </c>
      <c r="CL59" s="153">
        <f t="array" ref="CL59">IF(CJ59&lt;CK59,CJ59,"")</f>
        <v>27</v>
      </c>
      <c r="CM59" s="49">
        <v>27.0</v>
      </c>
      <c r="CN59" s="49">
        <f>IFERROR(__xludf.DUMMYFUNCTION("""COMPUTED_VALUE"""),54.0)</f>
        <v>54</v>
      </c>
      <c r="CO59" s="74">
        <v>27.0</v>
      </c>
      <c r="CP59" s="200" t="s">
        <v>194</v>
      </c>
      <c r="CQ59" s="153">
        <f t="array" ref="CQ59">IF(CO59&lt;CP59,CO59,"")</f>
        <v>27</v>
      </c>
      <c r="CR59" s="93">
        <v>27.0</v>
      </c>
      <c r="CS59" s="234">
        <f>IFERROR(__xludf.DUMMYFUNCTION("""COMPUTED_VALUE"""),54.0)</f>
        <v>54</v>
      </c>
      <c r="CT59" s="200">
        <v>27.0</v>
      </c>
      <c r="CU59" s="74" t="s">
        <v>194</v>
      </c>
      <c r="CV59" s="153">
        <f t="array" ref="CV59">IF(CT59&lt;CU59,CT59,"")</f>
        <v>27</v>
      </c>
      <c r="CW59" s="49">
        <v>27.0</v>
      </c>
      <c r="CX59" s="49">
        <f>IFERROR(__xludf.DUMMYFUNCTION("""COMPUTED_VALUE"""),54.0)</f>
        <v>54</v>
      </c>
      <c r="CY59" s="200">
        <v>27.0</v>
      </c>
      <c r="CZ59" s="74" t="s">
        <v>194</v>
      </c>
      <c r="DA59" s="153">
        <f t="array" ref="DA59">IF(CY59&lt;CZ59,CY59,"")</f>
        <v>27</v>
      </c>
      <c r="DB59" s="49">
        <v>27.0</v>
      </c>
      <c r="DC59" s="49">
        <f>IFERROR(__xludf.DUMMYFUNCTION("""COMPUTED_VALUE"""),54.0)</f>
        <v>54</v>
      </c>
      <c r="DD59" s="49">
        <v>27.0</v>
      </c>
      <c r="DE59" s="49"/>
      <c r="DF59" s="49"/>
      <c r="DG59" s="49"/>
      <c r="DH59" s="49"/>
    </row>
    <row r="60" ht="13.5" hidden="1" customHeight="1">
      <c r="A60" s="118"/>
      <c r="B60" s="165"/>
      <c r="C60" s="165"/>
      <c r="D60" s="165"/>
      <c r="E60" s="165"/>
      <c r="F60" s="166"/>
      <c r="G60" s="167"/>
      <c r="H60" s="168"/>
      <c r="I60" s="167"/>
      <c r="J60" s="168"/>
      <c r="K60" s="167"/>
      <c r="L60" s="168"/>
      <c r="M60" s="167"/>
      <c r="N60" s="168"/>
      <c r="O60" s="167"/>
      <c r="P60" s="168"/>
      <c r="Q60" s="167"/>
      <c r="R60" s="168"/>
      <c r="S60" s="167"/>
      <c r="T60" s="168"/>
      <c r="U60" s="169"/>
      <c r="V60" s="168"/>
      <c r="W60" s="169"/>
      <c r="X60" s="168"/>
      <c r="Y60" s="167"/>
      <c r="Z60" s="168"/>
      <c r="AA60" s="167"/>
      <c r="AB60" s="166"/>
      <c r="AC60" s="165"/>
      <c r="AD60" s="168"/>
      <c r="AE60" s="170"/>
      <c r="AF60" s="171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Y60" s="146" t="s">
        <v>195</v>
      </c>
      <c r="AZ60" s="146"/>
      <c r="BA60" s="146" t="s">
        <v>195</v>
      </c>
      <c r="BB60" s="146"/>
      <c r="BC60" s="49" t="s">
        <v>195</v>
      </c>
      <c r="BD60" s="225"/>
      <c r="BE60" s="49" t="s">
        <v>195</v>
      </c>
      <c r="BF60" s="224"/>
      <c r="BG60" s="49" t="s">
        <v>195</v>
      </c>
      <c r="BH60" s="49" t="s">
        <v>195</v>
      </c>
      <c r="BI60" s="49"/>
      <c r="BJ60" s="49"/>
      <c r="BK60" s="49"/>
      <c r="BL60" s="49"/>
      <c r="BM60" s="178"/>
      <c r="BO60" s="175" t="str">
        <f>IF(BO59="","",BN59)</f>
        <v/>
      </c>
      <c r="BP60" s="175" t="s">
        <v>195</v>
      </c>
      <c r="BQ60" s="197"/>
      <c r="BT60" s="175" t="str">
        <f>IF(BT59="","",BS59)</f>
        <v/>
      </c>
      <c r="BU60" s="175" t="s">
        <v>195</v>
      </c>
      <c r="BV60" s="196"/>
      <c r="BW60" s="178"/>
      <c r="BY60" s="160" t="str">
        <f>IF(BY59="","",BX59)</f>
        <v> </v>
      </c>
      <c r="BZ60" s="160" t="str">
        <f t="shared" si="17"/>
        <v> </v>
      </c>
      <c r="CA60" s="200">
        <f>IFERROR(__xludf.DUMMYFUNCTION("""COMPUTED_VALUE"""),55.0)</f>
        <v>55</v>
      </c>
      <c r="CB60" s="74">
        <f t="shared" si="18"/>
        <v>55</v>
      </c>
      <c r="CC60" s="200"/>
      <c r="CD60" s="243"/>
      <c r="CG60" s="180" t="str">
        <f>IF(CG59="","",CF59)</f>
        <v> </v>
      </c>
      <c r="CH60" s="200" t="s">
        <v>194</v>
      </c>
      <c r="CI60" s="182">
        <f>IFERROR(__xludf.DUMMYFUNCTION("""COMPUTED_VALUE"""),55.0)</f>
        <v>55</v>
      </c>
      <c r="CJ60" s="49" t="s">
        <v>195</v>
      </c>
      <c r="CK60" s="235"/>
      <c r="CL60" s="180" t="str">
        <f>IF(CL59="","",CK59)</f>
        <v> </v>
      </c>
      <c r="CM60" s="49" t="s">
        <v>194</v>
      </c>
      <c r="CN60" s="49">
        <f>IFERROR(__xludf.DUMMYFUNCTION("""COMPUTED_VALUE"""),55.0)</f>
        <v>55</v>
      </c>
      <c r="CQ60" s="180" t="str">
        <f>IF(CQ59="","",CP59)</f>
        <v> </v>
      </c>
      <c r="CR60" s="49" t="s">
        <v>194</v>
      </c>
      <c r="CS60" s="234">
        <f>IFERROR(__xludf.DUMMYFUNCTION("""COMPUTED_VALUE"""),55.0)</f>
        <v>55</v>
      </c>
      <c r="CV60" s="180" t="str">
        <f>IF(CV59="","",CU59)</f>
        <v> </v>
      </c>
      <c r="CW60" s="49" t="s">
        <v>194</v>
      </c>
      <c r="CX60" s="49">
        <f>IFERROR(__xludf.DUMMYFUNCTION("""COMPUTED_VALUE"""),55.0)</f>
        <v>55</v>
      </c>
      <c r="DA60" s="180" t="str">
        <f>IF(DA59="","",CZ59)</f>
        <v> </v>
      </c>
      <c r="DB60" s="49" t="s">
        <v>194</v>
      </c>
      <c r="DC60" s="49">
        <f>IFERROR(__xludf.DUMMYFUNCTION("""COMPUTED_VALUE"""),55.0)</f>
        <v>55</v>
      </c>
      <c r="DD60" s="49" t="s">
        <v>195</v>
      </c>
      <c r="DE60" s="49"/>
      <c r="DF60" s="49"/>
      <c r="DG60" s="49"/>
      <c r="DH60" s="49"/>
    </row>
    <row r="61" ht="13.5" hidden="1" customHeight="1">
      <c r="A61" s="118"/>
      <c r="B61" s="187">
        <v>28.0</v>
      </c>
      <c r="C61" s="188" t="str">
        <f>(VLOOKUP($B61,'Пр.взв'!$D$6:$J$63,2,0))</f>
        <v>#N/A</v>
      </c>
      <c r="D61" s="189" t="str">
        <f>(VLOOKUP($B61,'Пр.взв'!$D$6:$J$63,5,0))</f>
        <v>#N/A</v>
      </c>
      <c r="E61" s="190" t="str">
        <f>(VLOOKUP($B61,'Пр.взв'!$D$6:$M$63,8,0))</f>
        <v>#N/A</v>
      </c>
      <c r="F61" s="130"/>
      <c r="G61" s="131"/>
      <c r="H61" s="132"/>
      <c r="I61" s="131"/>
      <c r="J61" s="133" t="str">
        <f>IF(H61="Х","Х",IF($AC61&lt;6," ","Х"))</f>
        <v> </v>
      </c>
      <c r="K61" s="134"/>
      <c r="L61" s="133" t="str">
        <f>IF(J61="Х","Х",IF(K61&lt;3," ",IF($AC61&lt;6," ","Х")))</f>
        <v> </v>
      </c>
      <c r="M61" s="134"/>
      <c r="N61" s="133" t="str">
        <f>IF(L61="Х","Х",IF(M61&lt;3," ",IF($AC61&lt;6," ","Х")))</f>
        <v> </v>
      </c>
      <c r="O61" s="134"/>
      <c r="P61" s="133" t="str">
        <f>IF(N61="Х","Х",IF(O61&lt;3," ",IF($AC61&lt;6," ","Х")))</f>
        <v> </v>
      </c>
      <c r="Q61" s="134"/>
      <c r="R61" s="133" t="str">
        <f>IF(P61="Х","Х",IF(Q61&lt;3," ",IF($AC61&lt;6," ","Х")))</f>
        <v> </v>
      </c>
      <c r="S61" s="134"/>
      <c r="T61" s="133" t="str">
        <f>IF(R61="Х","Х",IF(S61&lt;3," ",IF($AC61&lt;6," ","Х")))</f>
        <v> </v>
      </c>
      <c r="U61" s="135"/>
      <c r="V61" s="133" t="str">
        <f>IF(T61="Х","Х",IF(U61&lt;3," ",IF($AC61&lt;6," ","Х")))</f>
        <v> </v>
      </c>
      <c r="W61" s="135"/>
      <c r="X61" s="133" t="str">
        <f>IF(V61="А1",$AZ$7,IF(V61="Б2",$AZ$6,IF(V61="Б1",$BA$7,IF(V61="А2",$BA$6,IF(V61="Х","Х",IF(V61&lt;6," "," "))))))</f>
        <v> </v>
      </c>
      <c r="Y61" s="136"/>
      <c r="Z61" s="133" t="str">
        <f>IF(V61="Х","Х",IF(ISBLANK(Y61),"",IF(Y61&gt;2.5," ",IF(B61=BB$6,BB$7,BB$6))))</f>
        <v/>
      </c>
      <c r="AA61" s="136"/>
      <c r="AB61" s="240" t="str">
        <f>IF(H61="Х",F$5,IF(J61="Х",H$5,IF(L61="Х",J$5,IF(N61="Х",L$5,IF(P61="Х",N$5,IF(R61="Х",P$5,IF(T61="Х",R$5,IF(X61="Х",T$5,""))))))))</f>
        <v/>
      </c>
      <c r="AC61" s="138">
        <f>SUM(G61+I61+K61+M61+O61+Q61+S61+U61+Y61+AA61)</f>
        <v>0</v>
      </c>
      <c r="AD61" s="241" t="str">
        <f>AF61</f>
        <v>25-71</v>
      </c>
      <c r="AE61" s="140" t="str">
        <f>AD61</f>
        <v>25-71</v>
      </c>
      <c r="AF61" s="141" t="str">
        <f>COUNTIF(AG$6:AG$148,"&gt;"&amp;AG$6:AG$148)+1&amp;REPT("-"&amp;COUNTIF(AG$6:AG$148,"&gt;="&amp;AG$6:AG$148),COUNTIF(AG$6:AG$148,AG61)&gt;1)</f>
        <v>25-71</v>
      </c>
      <c r="AG61" s="142">
        <f>(AR61*100)+(AP61*10)-AC61</f>
        <v>80</v>
      </c>
      <c r="AH61" s="143" t="str">
        <f>IF(OR(F61="Х",F61="св")," ",IF(AND(G61&gt;=0,G61&lt;3),"1"," "))</f>
        <v>1</v>
      </c>
      <c r="AI61" s="90" t="str">
        <f>IF(OR(H61="Х",H61="св")," ",IF(AND(I61&gt;=0,I61&lt;3),"1"," "))</f>
        <v>1</v>
      </c>
      <c r="AJ61" s="90" t="str">
        <f>IF(OR(J61="Х",J61="св")," ",IF(AND(K61&gt;=0,K61&lt;3),"1"," "))</f>
        <v>1</v>
      </c>
      <c r="AK61" s="90" t="str">
        <f>IF(OR(L61="Х",L61="св")," ",IF(AND(M61&gt;=0,M61&lt;3),"1"," "))</f>
        <v>1</v>
      </c>
      <c r="AL61" s="90" t="str">
        <f>IF(OR(N61="Х",N61="св")," ",IF(AND(O61&gt;=0,O61&lt;3),"1"," "))</f>
        <v>1</v>
      </c>
      <c r="AM61" s="90" t="str">
        <f>IF(OR(P61="Х",P61="св")," ",IF(AND(Q61&gt;=0,Q61&lt;3),"1"," "))</f>
        <v>1</v>
      </c>
      <c r="AN61" s="90" t="str">
        <f>IF(OR(R61="Х",R61="св")," ",IF(AND(S61&gt;=0,S61&lt;3),"1"," "))</f>
        <v>1</v>
      </c>
      <c r="AO61" s="90" t="str">
        <f>IF(OR(T61="Х",T61="св")," ",IF(AND(U61&gt;=0,U61&lt;3),"1"," "))</f>
        <v>1</v>
      </c>
      <c r="AP61" s="90">
        <f>COUNTIF(AH61:AO62,1)</f>
        <v>8</v>
      </c>
      <c r="AQ61" s="90">
        <f>AG61-AC61</f>
        <v>80</v>
      </c>
      <c r="AR61" s="144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90" t="str">
        <f>COUNTIF(AG$6:AG$134,"&gt;"&amp;AG$6:AG$134)+1&amp;REPT("-"&amp;COUNTIF(AG$6:AG$134,"&gt;="&amp;AG$6:AG$134),COUNTIF(AG$6:AG$134,AG61)&gt;1)</f>
        <v>25-64</v>
      </c>
      <c r="AT61" s="143" t="str">
        <f t="shared" ref="AT61:AW61" si="33">COUNTIF(AU$6:AU$134,"&gt;"&amp;AU$6:AU$134)+1&amp;REPT("-"&amp;COUNTIF(AU$6:AU$134,"&gt;="&amp;AU$6:AU$134),COUNTIF(AU$6:AU$134,AU61)&gt;1)</f>
        <v>1-64</v>
      </c>
      <c r="AU61" s="143" t="str">
        <f t="shared" si="33"/>
        <v>1-0</v>
      </c>
      <c r="AV61" s="143" t="str">
        <f t="shared" si="33"/>
        <v>1</v>
      </c>
      <c r="AW61" s="143" t="str">
        <f t="shared" si="33"/>
        <v>37</v>
      </c>
      <c r="AX61" s="145">
        <f>IF(X61="Х","Х",IF(Y61&lt;3,B61,"Х"))</f>
        <v>28</v>
      </c>
      <c r="AY61" s="146" t="s">
        <v>195</v>
      </c>
      <c r="AZ61" s="146"/>
      <c r="BA61" s="146" t="s">
        <v>195</v>
      </c>
      <c r="BB61" s="146"/>
      <c r="BC61" s="49" t="s">
        <v>195</v>
      </c>
      <c r="BD61" s="225"/>
      <c r="BE61" s="49" t="s">
        <v>195</v>
      </c>
      <c r="BF61" s="224"/>
      <c r="BG61" s="49" t="s">
        <v>195</v>
      </c>
      <c r="BH61" s="49" t="s">
        <v>195</v>
      </c>
      <c r="BI61" s="49"/>
      <c r="BJ61" s="49"/>
      <c r="BK61" s="49"/>
      <c r="BL61" s="49"/>
      <c r="BM61" s="195">
        <v>28.0</v>
      </c>
      <c r="BN61" s="196"/>
      <c r="BO61" s="153" t="str">
        <f>IF(BM61&lt;BN61,BM61,"")</f>
        <v/>
      </c>
      <c r="BP61" s="196" t="s">
        <v>195</v>
      </c>
      <c r="BQ61" s="197"/>
      <c r="BR61" s="198" t="s">
        <v>195</v>
      </c>
      <c r="BS61" s="196"/>
      <c r="BT61" s="175" t="str">
        <f>IF(BR61&lt;BS61,BR61,"")</f>
        <v/>
      </c>
      <c r="BU61" s="196" t="s">
        <v>195</v>
      </c>
      <c r="BV61" s="196"/>
      <c r="BW61" s="199">
        <v>28.0</v>
      </c>
      <c r="BX61" s="74" t="s">
        <v>194</v>
      </c>
      <c r="BY61" s="160">
        <f t="array" ref="BY61">IF(BW61&lt;BX61,BW61,"")</f>
        <v>28</v>
      </c>
      <c r="BZ61" s="160">
        <f t="shared" si="17"/>
        <v>28</v>
      </c>
      <c r="CA61" s="74">
        <f>IFERROR(__xludf.DUMMYFUNCTION("""COMPUTED_VALUE"""),56.0)</f>
        <v>56</v>
      </c>
      <c r="CB61" s="74">
        <f t="shared" si="18"/>
        <v>56</v>
      </c>
      <c r="CC61" s="200"/>
      <c r="CD61" s="243"/>
      <c r="CE61" s="200">
        <v>28.0</v>
      </c>
      <c r="CF61" s="25" t="s">
        <v>194</v>
      </c>
      <c r="CG61" s="153">
        <f t="array" ref="CG61">IF(CE61&lt;CF61,CE61,"")</f>
        <v>28</v>
      </c>
      <c r="CH61" s="74">
        <v>28.0</v>
      </c>
      <c r="CI61" s="182">
        <f>IFERROR(__xludf.DUMMYFUNCTION("""COMPUTED_VALUE"""),56.0)</f>
        <v>56</v>
      </c>
      <c r="CJ61" s="93">
        <v>28.0</v>
      </c>
      <c r="CK61" s="233" t="s">
        <v>194</v>
      </c>
      <c r="CL61" s="153">
        <f t="array" ref="CL61">IF(CJ61&lt;CK61,CJ61,"")</f>
        <v>28</v>
      </c>
      <c r="CM61" s="49">
        <v>28.0</v>
      </c>
      <c r="CN61" s="49">
        <f>IFERROR(__xludf.DUMMYFUNCTION("""COMPUTED_VALUE"""),56.0)</f>
        <v>56</v>
      </c>
      <c r="CO61" s="74">
        <v>28.0</v>
      </c>
      <c r="CP61" s="200" t="s">
        <v>194</v>
      </c>
      <c r="CQ61" s="153">
        <f t="array" ref="CQ61">IF(CO61&lt;CP61,CO61,"")</f>
        <v>28</v>
      </c>
      <c r="CR61" s="93">
        <v>28.0</v>
      </c>
      <c r="CS61" s="234">
        <f>IFERROR(__xludf.DUMMYFUNCTION("""COMPUTED_VALUE"""),56.0)</f>
        <v>56</v>
      </c>
      <c r="CT61" s="200">
        <v>28.0</v>
      </c>
      <c r="CU61" s="74" t="s">
        <v>194</v>
      </c>
      <c r="CV61" s="153">
        <f t="array" ref="CV61">IF(CT61&lt;CU61,CT61,"")</f>
        <v>28</v>
      </c>
      <c r="CW61" s="49">
        <v>28.0</v>
      </c>
      <c r="CX61" s="49">
        <f>IFERROR(__xludf.DUMMYFUNCTION("""COMPUTED_VALUE"""),56.0)</f>
        <v>56</v>
      </c>
      <c r="CY61" s="200">
        <v>28.0</v>
      </c>
      <c r="CZ61" s="74" t="s">
        <v>194</v>
      </c>
      <c r="DA61" s="153">
        <f t="array" ref="DA61">IF(CY61&lt;CZ61,CY61,"")</f>
        <v>28</v>
      </c>
      <c r="DB61" s="49">
        <v>28.0</v>
      </c>
      <c r="DC61" s="49">
        <f>IFERROR(__xludf.DUMMYFUNCTION("""COMPUTED_VALUE"""),56.0)</f>
        <v>56</v>
      </c>
      <c r="DD61" s="49">
        <v>28.0</v>
      </c>
      <c r="DE61" s="49"/>
      <c r="DF61" s="49"/>
      <c r="DG61" s="49"/>
      <c r="DH61" s="49"/>
    </row>
    <row r="62" ht="13.5" hidden="1" customHeight="1">
      <c r="A62" s="118"/>
      <c r="B62" s="165"/>
      <c r="C62" s="165"/>
      <c r="D62" s="165"/>
      <c r="E62" s="165"/>
      <c r="F62" s="166"/>
      <c r="G62" s="167"/>
      <c r="H62" s="168"/>
      <c r="I62" s="167"/>
      <c r="J62" s="168"/>
      <c r="K62" s="167"/>
      <c r="L62" s="168"/>
      <c r="M62" s="167"/>
      <c r="N62" s="168"/>
      <c r="O62" s="167"/>
      <c r="P62" s="168"/>
      <c r="Q62" s="167"/>
      <c r="R62" s="168"/>
      <c r="S62" s="167"/>
      <c r="T62" s="168"/>
      <c r="U62" s="169"/>
      <c r="V62" s="168"/>
      <c r="W62" s="169"/>
      <c r="X62" s="168"/>
      <c r="Y62" s="167"/>
      <c r="Z62" s="168"/>
      <c r="AA62" s="167"/>
      <c r="AB62" s="166"/>
      <c r="AC62" s="165"/>
      <c r="AD62" s="168"/>
      <c r="AE62" s="170"/>
      <c r="AF62" s="171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Y62" s="146" t="s">
        <v>195</v>
      </c>
      <c r="AZ62" s="146"/>
      <c r="BA62" s="146" t="s">
        <v>195</v>
      </c>
      <c r="BB62" s="146"/>
      <c r="BC62" s="253" t="s">
        <v>195</v>
      </c>
      <c r="BD62" s="225"/>
      <c r="BE62" s="254" t="s">
        <v>195</v>
      </c>
      <c r="BF62" s="224"/>
      <c r="BG62" s="49" t="s">
        <v>195</v>
      </c>
      <c r="BH62" s="49" t="s">
        <v>195</v>
      </c>
      <c r="BI62" s="49"/>
      <c r="BJ62" s="49"/>
      <c r="BK62" s="49"/>
      <c r="BL62" s="49"/>
      <c r="BM62" s="178"/>
      <c r="BO62" s="175" t="str">
        <f>IF(BO61="","",BN61)</f>
        <v/>
      </c>
      <c r="BP62" s="175" t="s">
        <v>195</v>
      </c>
      <c r="BQ62" s="197"/>
      <c r="BT62" s="175" t="str">
        <f>IF(BT61="","",BS61)</f>
        <v/>
      </c>
      <c r="BU62" s="175" t="s">
        <v>195</v>
      </c>
      <c r="BV62" s="196"/>
      <c r="BW62" s="178"/>
      <c r="BY62" s="160" t="str">
        <f>IF(BY61="","",BX61)</f>
        <v> </v>
      </c>
      <c r="BZ62" s="160" t="str">
        <f t="shared" si="17"/>
        <v> </v>
      </c>
      <c r="CA62" s="200">
        <f>IFERROR(__xludf.DUMMYFUNCTION("""COMPUTED_VALUE"""),57.0)</f>
        <v>57</v>
      </c>
      <c r="CB62" s="74">
        <f t="shared" si="18"/>
        <v>57</v>
      </c>
      <c r="CC62" s="200"/>
      <c r="CD62" s="243"/>
      <c r="CG62" s="180" t="str">
        <f>IF(CG61="","",CF61)</f>
        <v> </v>
      </c>
      <c r="CH62" s="200" t="s">
        <v>194</v>
      </c>
      <c r="CI62" s="182">
        <f>IFERROR(__xludf.DUMMYFUNCTION("""COMPUTED_VALUE"""),57.0)</f>
        <v>57</v>
      </c>
      <c r="CJ62" s="49" t="s">
        <v>195</v>
      </c>
      <c r="CK62" s="235"/>
      <c r="CL62" s="180" t="str">
        <f>IF(CL61="","",CK61)</f>
        <v> </v>
      </c>
      <c r="CM62" s="49" t="s">
        <v>194</v>
      </c>
      <c r="CN62" s="49">
        <f>IFERROR(__xludf.DUMMYFUNCTION("""COMPUTED_VALUE"""),57.0)</f>
        <v>57</v>
      </c>
      <c r="CQ62" s="180" t="str">
        <f>IF(CQ61="","",CP61)</f>
        <v> </v>
      </c>
      <c r="CR62" s="49" t="s">
        <v>194</v>
      </c>
      <c r="CS62" s="234">
        <f>IFERROR(__xludf.DUMMYFUNCTION("""COMPUTED_VALUE"""),57.0)</f>
        <v>57</v>
      </c>
      <c r="CV62" s="180" t="str">
        <f>IF(CV61="","",CU61)</f>
        <v> </v>
      </c>
      <c r="CW62" s="49" t="s">
        <v>194</v>
      </c>
      <c r="CX62" s="49">
        <f>IFERROR(__xludf.DUMMYFUNCTION("""COMPUTED_VALUE"""),57.0)</f>
        <v>57</v>
      </c>
      <c r="DA62" s="180" t="str">
        <f>IF(DA61="","",CZ61)</f>
        <v> </v>
      </c>
      <c r="DB62" s="49" t="s">
        <v>194</v>
      </c>
      <c r="DC62" s="49">
        <f>IFERROR(__xludf.DUMMYFUNCTION("""COMPUTED_VALUE"""),57.0)</f>
        <v>57</v>
      </c>
      <c r="DD62" s="49" t="s">
        <v>195</v>
      </c>
      <c r="DE62" s="49"/>
      <c r="DF62" s="49"/>
      <c r="DG62" s="49"/>
      <c r="DH62" s="49"/>
    </row>
    <row r="63" ht="13.5" hidden="1" customHeight="1">
      <c r="A63" s="118"/>
      <c r="B63" s="187">
        <v>29.0</v>
      </c>
      <c r="C63" s="188" t="str">
        <f>(VLOOKUP($B63,'Пр.взв'!$D$6:$J$63,2,0))</f>
        <v>#N/A</v>
      </c>
      <c r="D63" s="189" t="str">
        <f>(VLOOKUP($B63,'Пр.взв'!$D$6:$J$63,5,0))</f>
        <v>#N/A</v>
      </c>
      <c r="E63" s="190" t="str">
        <f>(VLOOKUP($B63,'Пр.взв'!$D$6:$M$63,8,0))</f>
        <v>#N/A</v>
      </c>
      <c r="F63" s="130"/>
      <c r="G63" s="131"/>
      <c r="H63" s="132"/>
      <c r="I63" s="131"/>
      <c r="J63" s="133" t="str">
        <f>IF(H63="Х","Х",IF($AC63&lt;6," ","Х"))</f>
        <v> </v>
      </c>
      <c r="K63" s="134"/>
      <c r="L63" s="133" t="str">
        <f>IF(J63="Х","Х",IF(K63&lt;3," ",IF($AC63&lt;6," ","Х")))</f>
        <v> </v>
      </c>
      <c r="M63" s="134"/>
      <c r="N63" s="133" t="str">
        <f>IF(L63="Х","Х",IF(M63&lt;3," ",IF($AC63&lt;6," ","Х")))</f>
        <v> </v>
      </c>
      <c r="O63" s="134"/>
      <c r="P63" s="133" t="str">
        <f>IF(N63="Х","Х",IF(O63&lt;3," ",IF($AC63&lt;6," ","Х")))</f>
        <v> </v>
      </c>
      <c r="Q63" s="134"/>
      <c r="R63" s="133" t="str">
        <f>IF(P63="Х","Х",IF(Q63&lt;3," ",IF($AC63&lt;6," ","Х")))</f>
        <v> </v>
      </c>
      <c r="S63" s="134"/>
      <c r="T63" s="133" t="str">
        <f>IF(R63="Х","Х",IF(S63&lt;3," ",IF($AC63&lt;6," ","Х")))</f>
        <v> </v>
      </c>
      <c r="U63" s="135"/>
      <c r="V63" s="133" t="str">
        <f>IF(T63="Х","Х",IF(U63&lt;3," ",IF($AC63&lt;6," ","Х")))</f>
        <v> </v>
      </c>
      <c r="W63" s="135"/>
      <c r="X63" s="133" t="str">
        <f>IF(V63="А1",$AZ$7,IF(V63="Б2",$AZ$6,IF(V63="Б1",$BA$7,IF(V63="А2",$BA$6,IF(V63="Х","Х",IF(V63&lt;6," "," "))))))</f>
        <v> </v>
      </c>
      <c r="Y63" s="136"/>
      <c r="Z63" s="133" t="str">
        <f>IF(V63="Х","Х",IF(ISBLANK(Y63),"",IF(Y63&gt;2.5," ",IF(B63=BB$6,BB$7,BB$6))))</f>
        <v/>
      </c>
      <c r="AA63" s="136"/>
      <c r="AB63" s="240" t="str">
        <f>IF(H63="Х",F$5,IF(J63="Х",H$5,IF(L63="Х",J$5,IF(N63="Х",L$5,IF(P63="Х",N$5,IF(R63="Х",P$5,IF(T63="Х",R$5,IF(X63="Х",T$5,""))))))))</f>
        <v/>
      </c>
      <c r="AC63" s="138">
        <f>SUM(G63+I63+K63+M63+O63+Q63+S63+U63+Y63+AA63)</f>
        <v>0</v>
      </c>
      <c r="AD63" s="241" t="str">
        <f>AF63</f>
        <v>25-71</v>
      </c>
      <c r="AE63" s="140" t="str">
        <f>AD63</f>
        <v>25-71</v>
      </c>
      <c r="AF63" s="141" t="str">
        <f>COUNTIF(AG$6:AG$148,"&gt;"&amp;AG$6:AG$148)+1&amp;REPT("-"&amp;COUNTIF(AG$6:AG$148,"&gt;="&amp;AG$6:AG$148),COUNTIF(AG$6:AG$148,AG63)&gt;1)</f>
        <v>25-71</v>
      </c>
      <c r="AG63" s="142">
        <f>(AR63*100)+(AP63*10)-AC63</f>
        <v>80</v>
      </c>
      <c r="AH63" s="143" t="str">
        <f>IF(OR(F63="Х",F63="св")," ",IF(AND(G63&gt;=0,G63&lt;3),"1"," "))</f>
        <v>1</v>
      </c>
      <c r="AI63" s="90" t="str">
        <f>IF(OR(H63="Х",H63="св")," ",IF(AND(I63&gt;=0,I63&lt;3),"1"," "))</f>
        <v>1</v>
      </c>
      <c r="AJ63" s="90" t="str">
        <f>IF(OR(J63="Х",J63="св")," ",IF(AND(K63&gt;=0,K63&lt;3),"1"," "))</f>
        <v>1</v>
      </c>
      <c r="AK63" s="90" t="str">
        <f>IF(OR(L63="Х",L63="св")," ",IF(AND(M63&gt;=0,M63&lt;3),"1"," "))</f>
        <v>1</v>
      </c>
      <c r="AL63" s="90" t="str">
        <f>IF(OR(N63="Х",N63="св")," ",IF(AND(O63&gt;=0,O63&lt;3),"1"," "))</f>
        <v>1</v>
      </c>
      <c r="AM63" s="90" t="str">
        <f>IF(OR(P63="Х",P63="св")," ",IF(AND(Q63&gt;=0,Q63&lt;3),"1"," "))</f>
        <v>1</v>
      </c>
      <c r="AN63" s="90" t="str">
        <f>IF(OR(R63="Х",R63="св")," ",IF(AND(S63&gt;=0,S63&lt;3),"1"," "))</f>
        <v>1</v>
      </c>
      <c r="AO63" s="90" t="str">
        <f>IF(OR(T63="Х",T63="св")," ",IF(AND(U63&gt;=0,U63&lt;3),"1"," "))</f>
        <v>1</v>
      </c>
      <c r="AP63" s="90">
        <f>COUNTIF(AH63:AO64,1)</f>
        <v>8</v>
      </c>
      <c r="AQ63" s="90">
        <f>AG63-AC63</f>
        <v>80</v>
      </c>
      <c r="AR63" s="144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90" t="str">
        <f>COUNTIF(AG$6:AG$134,"&gt;"&amp;AG$6:AG$134)+1&amp;REPT("-"&amp;COUNTIF(AG$6:AG$134,"&gt;="&amp;AG$6:AG$134),COUNTIF(AG$6:AG$134,AG63)&gt;1)</f>
        <v>25-64</v>
      </c>
      <c r="AT63" s="143" t="str">
        <f t="shared" ref="AT63:AW63" si="34">COUNTIF(AU$6:AU$134,"&gt;"&amp;AU$6:AU$134)+1&amp;REPT("-"&amp;COUNTIF(AU$6:AU$134,"&gt;="&amp;AU$6:AU$134),COUNTIF(AU$6:AU$134,AU63)&gt;1)</f>
        <v>1-64</v>
      </c>
      <c r="AU63" s="143" t="str">
        <f t="shared" si="34"/>
        <v>1-0</v>
      </c>
      <c r="AV63" s="143" t="str">
        <f t="shared" si="34"/>
        <v>1</v>
      </c>
      <c r="AW63" s="143" t="str">
        <f t="shared" si="34"/>
        <v>36</v>
      </c>
      <c r="AX63" s="145">
        <f>IF(X63="Х","Х",IF(Y63&lt;3,B63,"Х"))</f>
        <v>29</v>
      </c>
      <c r="AY63" s="146" t="s">
        <v>195</v>
      </c>
      <c r="AZ63" s="146"/>
      <c r="BA63" s="146" t="s">
        <v>195</v>
      </c>
      <c r="BB63" s="146"/>
      <c r="BC63" s="253" t="s">
        <v>195</v>
      </c>
      <c r="BD63" s="225"/>
      <c r="BE63" s="254" t="s">
        <v>195</v>
      </c>
      <c r="BF63" s="224"/>
      <c r="BG63" s="49" t="s">
        <v>195</v>
      </c>
      <c r="BH63" s="49" t="s">
        <v>195</v>
      </c>
      <c r="BI63" s="49"/>
      <c r="BJ63" s="49"/>
      <c r="BK63" s="49"/>
      <c r="BL63" s="49"/>
      <c r="BM63" s="195">
        <v>29.0</v>
      </c>
      <c r="BN63" s="196"/>
      <c r="BO63" s="153" t="str">
        <f>IF(BM63&lt;BN63,BM63,"")</f>
        <v/>
      </c>
      <c r="BP63" s="196" t="s">
        <v>195</v>
      </c>
      <c r="BQ63" s="197"/>
      <c r="BR63" s="198" t="s">
        <v>195</v>
      </c>
      <c r="BS63" s="196"/>
      <c r="BT63" s="175" t="str">
        <f>IF(BR63&lt;BS63,BR63,"")</f>
        <v/>
      </c>
      <c r="BU63" s="196" t="s">
        <v>195</v>
      </c>
      <c r="BV63" s="196"/>
      <c r="BW63" s="199">
        <v>29.0</v>
      </c>
      <c r="BX63" s="74" t="s">
        <v>194</v>
      </c>
      <c r="BY63" s="160">
        <f t="array" ref="BY63">IF(BW63&lt;BX63,BW63,"")</f>
        <v>29</v>
      </c>
      <c r="BZ63" s="160">
        <f t="shared" si="17"/>
        <v>29</v>
      </c>
      <c r="CA63" s="74">
        <f>IFERROR(__xludf.DUMMYFUNCTION("""COMPUTED_VALUE"""),58.0)</f>
        <v>58</v>
      </c>
      <c r="CB63" s="74">
        <f t="shared" si="18"/>
        <v>58</v>
      </c>
      <c r="CC63" s="200"/>
      <c r="CD63" s="243"/>
      <c r="CE63" s="200">
        <v>29.0</v>
      </c>
      <c r="CF63" s="25" t="s">
        <v>194</v>
      </c>
      <c r="CG63" s="153">
        <f t="array" ref="CG63">IF(CE63&lt;CF63,CE63,"")</f>
        <v>29</v>
      </c>
      <c r="CH63" s="74">
        <v>29.0</v>
      </c>
      <c r="CI63" s="182">
        <f>IFERROR(__xludf.DUMMYFUNCTION("""COMPUTED_VALUE"""),58.0)</f>
        <v>58</v>
      </c>
      <c r="CJ63" s="93">
        <v>29.0</v>
      </c>
      <c r="CK63" s="233" t="s">
        <v>194</v>
      </c>
      <c r="CL63" s="153">
        <f t="array" ref="CL63">IF(CJ63&lt;CK63,CJ63,"")</f>
        <v>29</v>
      </c>
      <c r="CM63" s="49">
        <v>29.0</v>
      </c>
      <c r="CN63" s="49">
        <f>IFERROR(__xludf.DUMMYFUNCTION("""COMPUTED_VALUE"""),58.0)</f>
        <v>58</v>
      </c>
      <c r="CO63" s="74">
        <v>29.0</v>
      </c>
      <c r="CP63" s="200" t="s">
        <v>194</v>
      </c>
      <c r="CQ63" s="153">
        <f t="array" ref="CQ63">IF(CO63&lt;CP63,CO63,"")</f>
        <v>29</v>
      </c>
      <c r="CR63" s="93">
        <v>29.0</v>
      </c>
      <c r="CS63" s="234">
        <f>IFERROR(__xludf.DUMMYFUNCTION("""COMPUTED_VALUE"""),58.0)</f>
        <v>58</v>
      </c>
      <c r="CT63" s="200">
        <v>29.0</v>
      </c>
      <c r="CU63" s="74" t="s">
        <v>194</v>
      </c>
      <c r="CV63" s="153">
        <f t="array" ref="CV63">IF(CT63&lt;CU63,CT63,"")</f>
        <v>29</v>
      </c>
      <c r="CW63" s="49">
        <v>29.0</v>
      </c>
      <c r="CX63" s="49">
        <f>IFERROR(__xludf.DUMMYFUNCTION("""COMPUTED_VALUE"""),58.0)</f>
        <v>58</v>
      </c>
      <c r="CY63" s="200">
        <v>29.0</v>
      </c>
      <c r="CZ63" s="74" t="s">
        <v>194</v>
      </c>
      <c r="DA63" s="153">
        <f t="array" ref="DA63">IF(CY63&lt;CZ63,CY63,"")</f>
        <v>29</v>
      </c>
      <c r="DB63" s="49">
        <v>29.0</v>
      </c>
      <c r="DC63" s="49">
        <f>IFERROR(__xludf.DUMMYFUNCTION("""COMPUTED_VALUE"""),58.0)</f>
        <v>58</v>
      </c>
      <c r="DD63" s="49">
        <v>29.0</v>
      </c>
      <c r="DE63" s="49"/>
      <c r="DF63" s="49"/>
      <c r="DG63" s="49"/>
      <c r="DH63" s="49"/>
    </row>
    <row r="64" ht="13.5" hidden="1" customHeight="1">
      <c r="A64" s="118"/>
      <c r="B64" s="165"/>
      <c r="C64" s="165"/>
      <c r="D64" s="165"/>
      <c r="E64" s="165"/>
      <c r="F64" s="166"/>
      <c r="G64" s="167"/>
      <c r="H64" s="168"/>
      <c r="I64" s="167"/>
      <c r="J64" s="168"/>
      <c r="K64" s="167"/>
      <c r="L64" s="168"/>
      <c r="M64" s="167"/>
      <c r="N64" s="168"/>
      <c r="O64" s="167"/>
      <c r="P64" s="168"/>
      <c r="Q64" s="167"/>
      <c r="R64" s="168"/>
      <c r="S64" s="167"/>
      <c r="T64" s="168"/>
      <c r="U64" s="169"/>
      <c r="V64" s="168"/>
      <c r="W64" s="169"/>
      <c r="X64" s="168"/>
      <c r="Y64" s="167"/>
      <c r="Z64" s="168"/>
      <c r="AA64" s="167"/>
      <c r="AB64" s="166"/>
      <c r="AC64" s="165"/>
      <c r="AD64" s="168"/>
      <c r="AE64" s="170"/>
      <c r="AF64" s="171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Y64" s="146" t="s">
        <v>195</v>
      </c>
      <c r="AZ64" s="146"/>
      <c r="BA64" s="146" t="s">
        <v>195</v>
      </c>
      <c r="BB64" s="146"/>
      <c r="BC64" s="49" t="s">
        <v>195</v>
      </c>
      <c r="BD64" s="225"/>
      <c r="BE64" s="49" t="s">
        <v>195</v>
      </c>
      <c r="BF64" s="224"/>
      <c r="BG64" s="49" t="s">
        <v>195</v>
      </c>
      <c r="BH64" s="49" t="s">
        <v>195</v>
      </c>
      <c r="BI64" s="49"/>
      <c r="BJ64" s="49"/>
      <c r="BK64" s="49"/>
      <c r="BL64" s="49"/>
      <c r="BM64" s="178"/>
      <c r="BO64" s="175" t="str">
        <f>IF(BO63="","",BN63)</f>
        <v/>
      </c>
      <c r="BP64" s="175" t="s">
        <v>195</v>
      </c>
      <c r="BQ64" s="197"/>
      <c r="BT64" s="175" t="str">
        <f>IF(BT63="","",BS63)</f>
        <v/>
      </c>
      <c r="BU64" s="175" t="s">
        <v>195</v>
      </c>
      <c r="BV64" s="196"/>
      <c r="BW64" s="178"/>
      <c r="BY64" s="160" t="str">
        <f>IF(BY63="","",BX63)</f>
        <v> </v>
      </c>
      <c r="BZ64" s="160" t="str">
        <f t="shared" si="17"/>
        <v> </v>
      </c>
      <c r="CA64" s="200">
        <f>IFERROR(__xludf.DUMMYFUNCTION("""COMPUTED_VALUE"""),59.0)</f>
        <v>59</v>
      </c>
      <c r="CB64" s="74">
        <f t="shared" si="18"/>
        <v>59</v>
      </c>
      <c r="CC64" s="200"/>
      <c r="CD64" s="243"/>
      <c r="CG64" s="180" t="str">
        <f>IF(CG63="","",CF63)</f>
        <v> </v>
      </c>
      <c r="CH64" s="200" t="s">
        <v>194</v>
      </c>
      <c r="CI64" s="182">
        <f>IFERROR(__xludf.DUMMYFUNCTION("""COMPUTED_VALUE"""),59.0)</f>
        <v>59</v>
      </c>
      <c r="CJ64" s="49" t="s">
        <v>195</v>
      </c>
      <c r="CK64" s="235"/>
      <c r="CL64" s="180" t="str">
        <f>IF(CL63="","",CK63)</f>
        <v> </v>
      </c>
      <c r="CM64" s="49" t="s">
        <v>194</v>
      </c>
      <c r="CN64" s="49">
        <f>IFERROR(__xludf.DUMMYFUNCTION("""COMPUTED_VALUE"""),59.0)</f>
        <v>59</v>
      </c>
      <c r="CQ64" s="180" t="str">
        <f>IF(CQ63="","",CP63)</f>
        <v> </v>
      </c>
      <c r="CR64" s="49" t="s">
        <v>194</v>
      </c>
      <c r="CS64" s="234">
        <f>IFERROR(__xludf.DUMMYFUNCTION("""COMPUTED_VALUE"""),59.0)</f>
        <v>59</v>
      </c>
      <c r="CV64" s="180" t="str">
        <f>IF(CV63="","",CU63)</f>
        <v> </v>
      </c>
      <c r="CW64" s="49" t="s">
        <v>194</v>
      </c>
      <c r="CX64" s="49">
        <f>IFERROR(__xludf.DUMMYFUNCTION("""COMPUTED_VALUE"""),59.0)</f>
        <v>59</v>
      </c>
      <c r="DA64" s="180" t="str">
        <f>IF(DA63="","",CZ63)</f>
        <v> </v>
      </c>
      <c r="DB64" s="49" t="s">
        <v>194</v>
      </c>
      <c r="DC64" s="49">
        <f>IFERROR(__xludf.DUMMYFUNCTION("""COMPUTED_VALUE"""),59.0)</f>
        <v>59</v>
      </c>
      <c r="DD64" s="49" t="s">
        <v>195</v>
      </c>
      <c r="DE64" s="49"/>
      <c r="DF64" s="49"/>
      <c r="DG64" s="49"/>
      <c r="DH64" s="49"/>
    </row>
    <row r="65" ht="13.5" hidden="1" customHeight="1">
      <c r="A65" s="118"/>
      <c r="B65" s="187">
        <v>30.0</v>
      </c>
      <c r="C65" s="188" t="str">
        <f>(VLOOKUP($B65,'Пр.взв'!$D$6:$J$63,2,0))</f>
        <v>#N/A</v>
      </c>
      <c r="D65" s="189" t="str">
        <f>(VLOOKUP($B65,'Пр.взв'!$D$6:$J$63,5,0))</f>
        <v>#N/A</v>
      </c>
      <c r="E65" s="190" t="str">
        <f>(VLOOKUP($B65,'Пр.взв'!$D$6:$M$63,8,0))</f>
        <v>#N/A</v>
      </c>
      <c r="F65" s="130"/>
      <c r="G65" s="131"/>
      <c r="H65" s="132"/>
      <c r="I65" s="131"/>
      <c r="J65" s="133" t="str">
        <f>IF(H65="Х","Х",IF($AC65&lt;6," ","Х"))</f>
        <v> </v>
      </c>
      <c r="K65" s="134"/>
      <c r="L65" s="133" t="str">
        <f>IF(J65="Х","Х",IF(K65&lt;3," ",IF($AC65&lt;6," ","Х")))</f>
        <v> </v>
      </c>
      <c r="M65" s="134"/>
      <c r="N65" s="133" t="str">
        <f>IF(L65="Х","Х",IF(M65&lt;3," ",IF($AC65&lt;6," ","Х")))</f>
        <v> </v>
      </c>
      <c r="O65" s="134"/>
      <c r="P65" s="133" t="str">
        <f>IF(N65="Х","Х",IF(O65&lt;3," ",IF($AC65&lt;6," ","Х")))</f>
        <v> </v>
      </c>
      <c r="Q65" s="134"/>
      <c r="R65" s="133" t="str">
        <f>IF(P65="Х","Х",IF(Q65&lt;3," ",IF($AC65&lt;6," ","Х")))</f>
        <v> </v>
      </c>
      <c r="S65" s="134"/>
      <c r="T65" s="133" t="str">
        <f>IF(R65="Х","Х",IF(S65&lt;3," ",IF($AC65&lt;6," ","Х")))</f>
        <v> </v>
      </c>
      <c r="U65" s="135"/>
      <c r="V65" s="133" t="str">
        <f>IF(T65="Х","Х",IF(U65&lt;3," ",IF($AC65&lt;6," ","Х")))</f>
        <v> </v>
      </c>
      <c r="W65" s="135"/>
      <c r="X65" s="133" t="str">
        <f>IF(V65="А1",$AZ$7,IF(V65="Б2",$AZ$6,IF(V65="Б1",$BA$7,IF(V65="А2",$BA$6,IF(V65="Х","Х",IF(V65&lt;6," "," "))))))</f>
        <v> </v>
      </c>
      <c r="Y65" s="136"/>
      <c r="Z65" s="133" t="str">
        <f>IF(V65="Х","Х",IF(ISBLANK(Y65),"",IF(Y65&gt;2.5," ",IF(B65=BB$6,BB$7,BB$6))))</f>
        <v/>
      </c>
      <c r="AA65" s="136"/>
      <c r="AB65" s="240" t="str">
        <f>IF(H65="Х",F$5,IF(J65="Х",H$5,IF(L65="Х",J$5,IF(N65="Х",L$5,IF(P65="Х",N$5,IF(R65="Х",P$5,IF(T65="Х",R$5,IF(X65="Х",T$5,""))))))))</f>
        <v/>
      </c>
      <c r="AC65" s="138">
        <f>SUM(G65+I65+K65+M65+O65+Q65+S65+U65+Y65+AA65)</f>
        <v>0</v>
      </c>
      <c r="AD65" s="241" t="str">
        <f>AF65</f>
        <v>25-71</v>
      </c>
      <c r="AE65" s="140" t="str">
        <f>AD65</f>
        <v>25-71</v>
      </c>
      <c r="AF65" s="141" t="str">
        <f>COUNTIF(AG$6:AG$148,"&gt;"&amp;AG$6:AG$148)+1&amp;REPT("-"&amp;COUNTIF(AG$6:AG$148,"&gt;="&amp;AG$6:AG$148),COUNTIF(AG$6:AG$148,AG65)&gt;1)</f>
        <v>25-71</v>
      </c>
      <c r="AG65" s="142">
        <f>(AR65*100)+(AP65*10)-AC65</f>
        <v>80</v>
      </c>
      <c r="AH65" s="143" t="str">
        <f>IF(OR(F65="Х",F65="св")," ",IF(AND(G65&gt;=0,G65&lt;3),"1"," "))</f>
        <v>1</v>
      </c>
      <c r="AI65" s="90" t="str">
        <f>IF(OR(H65="Х",H65="св")," ",IF(AND(I65&gt;=0,I65&lt;3),"1"," "))</f>
        <v>1</v>
      </c>
      <c r="AJ65" s="90" t="str">
        <f>IF(OR(J65="Х",J65="св")," ",IF(AND(K65&gt;=0,K65&lt;3),"1"," "))</f>
        <v>1</v>
      </c>
      <c r="AK65" s="90" t="str">
        <f>IF(OR(L65="Х",L65="св")," ",IF(AND(M65&gt;=0,M65&lt;3),"1"," "))</f>
        <v>1</v>
      </c>
      <c r="AL65" s="90" t="str">
        <f>IF(OR(N65="Х",N65="св")," ",IF(AND(O65&gt;=0,O65&lt;3),"1"," "))</f>
        <v>1</v>
      </c>
      <c r="AM65" s="90" t="str">
        <f>IF(OR(P65="Х",P65="св")," ",IF(AND(Q65&gt;=0,Q65&lt;3),"1"," "))</f>
        <v>1</v>
      </c>
      <c r="AN65" s="90" t="str">
        <f>IF(OR(R65="Х",R65="св")," ",IF(AND(S65&gt;=0,S65&lt;3),"1"," "))</f>
        <v>1</v>
      </c>
      <c r="AO65" s="90" t="str">
        <f>IF(OR(T65="Х",T65="св")," ",IF(AND(U65&gt;=0,U65&lt;3),"1"," "))</f>
        <v>1</v>
      </c>
      <c r="AP65" s="90">
        <f>COUNTIF(AH65:AO66,1)</f>
        <v>8</v>
      </c>
      <c r="AQ65" s="90">
        <f>AG65-AC65</f>
        <v>80</v>
      </c>
      <c r="AR65" s="144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90" t="str">
        <f>COUNTIF(AG$6:AG$134,"&gt;"&amp;AG$6:AG$134)+1&amp;REPT("-"&amp;COUNTIF(AG$6:AG$134,"&gt;="&amp;AG$6:AG$134),COUNTIF(AG$6:AG$134,AG65)&gt;1)</f>
        <v>25-64</v>
      </c>
      <c r="AT65" s="143" t="str">
        <f t="shared" ref="AT65:AW65" si="35">COUNTIF(AU$6:AU$134,"&gt;"&amp;AU$6:AU$134)+1&amp;REPT("-"&amp;COUNTIF(AU$6:AU$134,"&gt;="&amp;AU$6:AU$134),COUNTIF(AU$6:AU$134,AU65)&gt;1)</f>
        <v>1-64</v>
      </c>
      <c r="AU65" s="143" t="str">
        <f t="shared" si="35"/>
        <v>1-0</v>
      </c>
      <c r="AV65" s="143" t="str">
        <f t="shared" si="35"/>
        <v>1</v>
      </c>
      <c r="AW65" s="143" t="str">
        <f t="shared" si="35"/>
        <v>35</v>
      </c>
      <c r="AX65" s="145">
        <f>IF(X65="Х","Х",IF(Y65&lt;3,B65,"Х"))</f>
        <v>30</v>
      </c>
      <c r="AY65" s="146" t="s">
        <v>195</v>
      </c>
      <c r="AZ65" s="146"/>
      <c r="BA65" s="146" t="s">
        <v>195</v>
      </c>
      <c r="BB65" s="146"/>
      <c r="BC65" s="49" t="s">
        <v>195</v>
      </c>
      <c r="BD65" s="225"/>
      <c r="BE65" s="49" t="s">
        <v>195</v>
      </c>
      <c r="BF65" s="224"/>
      <c r="BG65" s="49" t="s">
        <v>195</v>
      </c>
      <c r="BH65" s="49" t="s">
        <v>195</v>
      </c>
      <c r="BI65" s="49"/>
      <c r="BJ65" s="49"/>
      <c r="BK65" s="49"/>
      <c r="BL65" s="49"/>
      <c r="BM65" s="195">
        <v>30.0</v>
      </c>
      <c r="BN65" s="196"/>
      <c r="BO65" s="153" t="str">
        <f>IF(BM65&lt;BN65,BM65,"")</f>
        <v/>
      </c>
      <c r="BP65" s="196" t="s">
        <v>195</v>
      </c>
      <c r="BQ65" s="197"/>
      <c r="BR65" s="198" t="s">
        <v>195</v>
      </c>
      <c r="BS65" s="196"/>
      <c r="BT65" s="175" t="str">
        <f>IF(BR65&lt;BS65,BR65,"")</f>
        <v/>
      </c>
      <c r="BU65" s="196" t="s">
        <v>195</v>
      </c>
      <c r="BV65" s="196"/>
      <c r="BW65" s="199">
        <v>30.0</v>
      </c>
      <c r="BX65" s="74" t="s">
        <v>194</v>
      </c>
      <c r="BY65" s="160">
        <f t="array" ref="BY65">IF(BW65&lt;BX65,BW65,"")</f>
        <v>30</v>
      </c>
      <c r="BZ65" s="160">
        <f t="shared" si="17"/>
        <v>30</v>
      </c>
      <c r="CA65" s="74">
        <f>IFERROR(__xludf.DUMMYFUNCTION("""COMPUTED_VALUE"""),60.0)</f>
        <v>60</v>
      </c>
      <c r="CB65" s="74">
        <f t="shared" si="18"/>
        <v>60</v>
      </c>
      <c r="CC65" s="200"/>
      <c r="CD65" s="243"/>
      <c r="CE65" s="200">
        <v>30.0</v>
      </c>
      <c r="CF65" s="25" t="s">
        <v>194</v>
      </c>
      <c r="CG65" s="153">
        <f t="array" ref="CG65">IF(CE65&lt;CF65,CE65,"")</f>
        <v>30</v>
      </c>
      <c r="CH65" s="74">
        <v>30.0</v>
      </c>
      <c r="CI65" s="182">
        <f>IFERROR(__xludf.DUMMYFUNCTION("""COMPUTED_VALUE"""),60.0)</f>
        <v>60</v>
      </c>
      <c r="CJ65" s="93">
        <v>30.0</v>
      </c>
      <c r="CK65" s="233" t="s">
        <v>194</v>
      </c>
      <c r="CL65" s="153">
        <f t="array" ref="CL65">IF(CJ65&lt;CK65,CJ65,"")</f>
        <v>30</v>
      </c>
      <c r="CM65" s="49">
        <v>30.0</v>
      </c>
      <c r="CN65" s="49">
        <f>IFERROR(__xludf.DUMMYFUNCTION("""COMPUTED_VALUE"""),60.0)</f>
        <v>60</v>
      </c>
      <c r="CO65" s="74">
        <v>30.0</v>
      </c>
      <c r="CP65" s="200" t="s">
        <v>194</v>
      </c>
      <c r="CQ65" s="153">
        <f t="array" ref="CQ65">IF(CO65&lt;CP65,CO65,"")</f>
        <v>30</v>
      </c>
      <c r="CR65" s="93">
        <v>30.0</v>
      </c>
      <c r="CS65" s="234">
        <f>IFERROR(__xludf.DUMMYFUNCTION("""COMPUTED_VALUE"""),60.0)</f>
        <v>60</v>
      </c>
      <c r="CT65" s="200">
        <v>30.0</v>
      </c>
      <c r="CU65" s="74" t="s">
        <v>194</v>
      </c>
      <c r="CV65" s="153">
        <f t="array" ref="CV65">IF(CT65&lt;CU65,CT65,"")</f>
        <v>30</v>
      </c>
      <c r="CW65" s="49">
        <v>30.0</v>
      </c>
      <c r="CX65" s="49">
        <f>IFERROR(__xludf.DUMMYFUNCTION("""COMPUTED_VALUE"""),60.0)</f>
        <v>60</v>
      </c>
      <c r="CY65" s="200">
        <v>30.0</v>
      </c>
      <c r="CZ65" s="74" t="s">
        <v>194</v>
      </c>
      <c r="DA65" s="153">
        <f t="array" ref="DA65">IF(CY65&lt;CZ65,CY65,"")</f>
        <v>30</v>
      </c>
      <c r="DB65" s="49">
        <v>30.0</v>
      </c>
      <c r="DC65" s="49">
        <f>IFERROR(__xludf.DUMMYFUNCTION("""COMPUTED_VALUE"""),60.0)</f>
        <v>60</v>
      </c>
      <c r="DD65" s="49">
        <v>30.0</v>
      </c>
      <c r="DE65" s="49"/>
      <c r="DF65" s="49"/>
      <c r="DG65" s="49"/>
      <c r="DH65" s="49"/>
    </row>
    <row r="66" ht="13.5" hidden="1" customHeight="1">
      <c r="A66" s="118"/>
      <c r="B66" s="165"/>
      <c r="C66" s="165"/>
      <c r="D66" s="165"/>
      <c r="E66" s="165"/>
      <c r="F66" s="166"/>
      <c r="G66" s="167"/>
      <c r="H66" s="168"/>
      <c r="I66" s="167"/>
      <c r="J66" s="168"/>
      <c r="K66" s="167"/>
      <c r="L66" s="168"/>
      <c r="M66" s="167"/>
      <c r="N66" s="168"/>
      <c r="O66" s="167"/>
      <c r="P66" s="168"/>
      <c r="Q66" s="167"/>
      <c r="R66" s="168"/>
      <c r="S66" s="167"/>
      <c r="T66" s="168"/>
      <c r="U66" s="169"/>
      <c r="V66" s="168"/>
      <c r="W66" s="169"/>
      <c r="X66" s="168"/>
      <c r="Y66" s="167"/>
      <c r="Z66" s="168"/>
      <c r="AA66" s="167"/>
      <c r="AB66" s="166"/>
      <c r="AC66" s="165"/>
      <c r="AD66" s="168"/>
      <c r="AE66" s="170"/>
      <c r="AF66" s="171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Y66" s="146" t="s">
        <v>195</v>
      </c>
      <c r="AZ66" s="146"/>
      <c r="BA66" s="146" t="s">
        <v>195</v>
      </c>
      <c r="BB66" s="146"/>
      <c r="BC66" s="49" t="s">
        <v>195</v>
      </c>
      <c r="BD66" s="225"/>
      <c r="BE66" s="49" t="s">
        <v>195</v>
      </c>
      <c r="BF66" s="224"/>
      <c r="BG66" s="49" t="s">
        <v>195</v>
      </c>
      <c r="BH66" s="49" t="s">
        <v>195</v>
      </c>
      <c r="BI66" s="49"/>
      <c r="BJ66" s="49"/>
      <c r="BK66" s="49"/>
      <c r="BL66" s="49"/>
      <c r="BM66" s="178"/>
      <c r="BO66" s="175" t="str">
        <f>IF(BO65="","",BN65)</f>
        <v/>
      </c>
      <c r="BP66" s="175" t="s">
        <v>195</v>
      </c>
      <c r="BQ66" s="197"/>
      <c r="BT66" s="175" t="str">
        <f>IF(BT65="","",BS65)</f>
        <v/>
      </c>
      <c r="BU66" s="175" t="s">
        <v>195</v>
      </c>
      <c r="BV66" s="196"/>
      <c r="BW66" s="178"/>
      <c r="BY66" s="160" t="str">
        <f>IF(BY65="","",BX65)</f>
        <v> </v>
      </c>
      <c r="BZ66" s="160" t="str">
        <f t="shared" si="17"/>
        <v> </v>
      </c>
      <c r="CA66" s="200">
        <f>IFERROR(__xludf.DUMMYFUNCTION("""COMPUTED_VALUE"""),61.0)</f>
        <v>61</v>
      </c>
      <c r="CB66" s="74">
        <f t="shared" si="18"/>
        <v>61</v>
      </c>
      <c r="CC66" s="200"/>
      <c r="CD66" s="243"/>
      <c r="CG66" s="180" t="str">
        <f>IF(CG65="","",CF65)</f>
        <v> </v>
      </c>
      <c r="CH66" s="200" t="s">
        <v>194</v>
      </c>
      <c r="CI66" s="182">
        <f>IFERROR(__xludf.DUMMYFUNCTION("""COMPUTED_VALUE"""),61.0)</f>
        <v>61</v>
      </c>
      <c r="CJ66" s="49" t="s">
        <v>195</v>
      </c>
      <c r="CK66" s="235"/>
      <c r="CL66" s="180" t="str">
        <f>IF(CL65="","",CK65)</f>
        <v> </v>
      </c>
      <c r="CM66" s="49" t="s">
        <v>194</v>
      </c>
      <c r="CN66" s="49">
        <f>IFERROR(__xludf.DUMMYFUNCTION("""COMPUTED_VALUE"""),61.0)</f>
        <v>61</v>
      </c>
      <c r="CQ66" s="180" t="str">
        <f>IF(CQ65="","",CP65)</f>
        <v> </v>
      </c>
      <c r="CR66" s="49" t="s">
        <v>194</v>
      </c>
      <c r="CS66" s="234">
        <f>IFERROR(__xludf.DUMMYFUNCTION("""COMPUTED_VALUE"""),61.0)</f>
        <v>61</v>
      </c>
      <c r="CV66" s="180" t="str">
        <f>IF(CV65="","",CU65)</f>
        <v> </v>
      </c>
      <c r="CW66" s="49" t="s">
        <v>194</v>
      </c>
      <c r="CX66" s="49">
        <f>IFERROR(__xludf.DUMMYFUNCTION("""COMPUTED_VALUE"""),61.0)</f>
        <v>61</v>
      </c>
      <c r="DA66" s="180" t="str">
        <f>IF(DA65="","",CZ65)</f>
        <v> </v>
      </c>
      <c r="DB66" s="49" t="s">
        <v>194</v>
      </c>
      <c r="DC66" s="49">
        <f>IFERROR(__xludf.DUMMYFUNCTION("""COMPUTED_VALUE"""),61.0)</f>
        <v>61</v>
      </c>
      <c r="DD66" s="49" t="s">
        <v>195</v>
      </c>
      <c r="DE66" s="49"/>
      <c r="DF66" s="49"/>
      <c r="DG66" s="49"/>
      <c r="DH66" s="49"/>
    </row>
    <row r="67" ht="13.5" hidden="1" customHeight="1">
      <c r="A67" s="118"/>
      <c r="B67" s="187">
        <v>31.0</v>
      </c>
      <c r="C67" s="188" t="str">
        <f>(VLOOKUP($B67,'Пр.взв'!$D$6:$J$63,2,0))</f>
        <v>#N/A</v>
      </c>
      <c r="D67" s="189" t="str">
        <f>(VLOOKUP($B67,'Пр.взв'!$D$6:$J$63,5,0))</f>
        <v>#N/A</v>
      </c>
      <c r="E67" s="190" t="str">
        <f>(VLOOKUP($B67,'Пр.взв'!$D$6:$M$63,8,0))</f>
        <v>#N/A</v>
      </c>
      <c r="F67" s="130"/>
      <c r="G67" s="255"/>
      <c r="H67" s="132"/>
      <c r="I67" s="255"/>
      <c r="J67" s="133" t="str">
        <f>IF(H67="Х","Х",IF($AC67&lt;6," ","Х"))</f>
        <v> </v>
      </c>
      <c r="K67" s="134"/>
      <c r="L67" s="133" t="str">
        <f>IF(J67="Х","Х",IF(K67&lt;3," ",IF($AC67&lt;6," ","Х")))</f>
        <v> </v>
      </c>
      <c r="M67" s="134"/>
      <c r="N67" s="133" t="str">
        <f>IF(L67="Х","Х",IF(M67&lt;3," ",IF($AC67&lt;6," ","Х")))</f>
        <v> </v>
      </c>
      <c r="O67" s="134"/>
      <c r="P67" s="133" t="str">
        <f>IF(N67="Х","Х",IF(O67&lt;3," ",IF($AC67&lt;6," ","Х")))</f>
        <v> </v>
      </c>
      <c r="Q67" s="134"/>
      <c r="R67" s="133" t="str">
        <f>IF(P67="Х","Х",IF(Q67&lt;3," ",IF($AC67&lt;6," ","Х")))</f>
        <v> </v>
      </c>
      <c r="S67" s="134"/>
      <c r="T67" s="133" t="str">
        <f>IF(R67="Х","Х",IF(S67&lt;3," ",IF($AC67&lt;6," ","Х")))</f>
        <v> </v>
      </c>
      <c r="U67" s="135"/>
      <c r="V67" s="133" t="str">
        <f>IF(T67="Х","Х",IF(U67&lt;3," ",IF($AC67&lt;6," ","Х")))</f>
        <v> </v>
      </c>
      <c r="W67" s="135"/>
      <c r="X67" s="133" t="str">
        <f>IF(V67="А1",$AZ$7,IF(V67="Б2",$AZ$6,IF(V67="Б1",$BA$7,IF(V67="А2",$BA$6,IF(V67="Х","Х",IF(V67&lt;6," "," "))))))</f>
        <v> </v>
      </c>
      <c r="Y67" s="136"/>
      <c r="Z67" s="133" t="str">
        <f>IF(V67="Х","Х",IF(ISBLANK(Y67),"",IF(Y67&gt;2.5," ",IF(B67=BB$6,BB$7,BB$6))))</f>
        <v/>
      </c>
      <c r="AA67" s="136"/>
      <c r="AB67" s="240" t="str">
        <f>IF(H67="Х",F$5,IF(J67="Х",H$5,IF(L67="Х",J$5,IF(N67="Х",L$5,IF(P67="Х",N$5,IF(R67="Х",P$5,IF(T67="Х",R$5,IF(X67="Х",T$5,""))))))))</f>
        <v/>
      </c>
      <c r="AC67" s="138">
        <f>SUM(G67+I67+K67+M67+O67+Q67+S67+U67+Y67+AA67)</f>
        <v>0</v>
      </c>
      <c r="AD67" s="241" t="str">
        <f>AF67</f>
        <v>25-71</v>
      </c>
      <c r="AE67" s="140" t="str">
        <f>AD67</f>
        <v>25-71</v>
      </c>
      <c r="AF67" s="141" t="str">
        <f>COUNTIF(AG$6:AG$148,"&gt;"&amp;AG$6:AG$148)+1&amp;REPT("-"&amp;COUNTIF(AG$6:AG$148,"&gt;="&amp;AG$6:AG$148),COUNTIF(AG$6:AG$148,AG67)&gt;1)</f>
        <v>25-71</v>
      </c>
      <c r="AG67" s="142">
        <f>(AR67*100)+(AP67*10)-AC67</f>
        <v>80</v>
      </c>
      <c r="AH67" s="143" t="str">
        <f>IF(OR(F67="Х",F67="св")," ",IF(AND(G67&gt;=0,G67&lt;3),"1"," "))</f>
        <v>1</v>
      </c>
      <c r="AI67" s="90" t="str">
        <f>IF(OR(H67="Х",H67="св")," ",IF(AND(I67&gt;=0,I67&lt;3),"1"," "))</f>
        <v>1</v>
      </c>
      <c r="AJ67" s="90" t="str">
        <f>IF(OR(J67="Х",J67="св")," ",IF(AND(K67&gt;=0,K67&lt;3),"1"," "))</f>
        <v>1</v>
      </c>
      <c r="AK67" s="90" t="str">
        <f>IF(OR(L67="Х",L67="св")," ",IF(AND(M67&gt;=0,M67&lt;3),"1"," "))</f>
        <v>1</v>
      </c>
      <c r="AL67" s="90" t="str">
        <f>IF(OR(N67="Х",N67="св")," ",IF(AND(O67&gt;=0,O67&lt;3),"1"," "))</f>
        <v>1</v>
      </c>
      <c r="AM67" s="90" t="str">
        <f>IF(OR(P67="Х",P67="св")," ",IF(AND(Q67&gt;=0,Q67&lt;3),"1"," "))</f>
        <v>1</v>
      </c>
      <c r="AN67" s="90" t="str">
        <f>IF(OR(R67="Х",R67="св")," ",IF(AND(S67&gt;=0,S67&lt;3),"1"," "))</f>
        <v>1</v>
      </c>
      <c r="AO67" s="90" t="str">
        <f>IF(OR(T67="Х",T67="св")," ",IF(AND(U67&gt;=0,U67&lt;3),"1"," "))</f>
        <v>1</v>
      </c>
      <c r="AP67" s="90">
        <f>COUNTIF(AH67:AO68,1)</f>
        <v>8</v>
      </c>
      <c r="AQ67" s="90">
        <f>AG67-AC67</f>
        <v>80</v>
      </c>
      <c r="AR67" s="144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90" t="str">
        <f>COUNTIF(AG$6:AG$134,"&gt;"&amp;AG$6:AG$134)+1&amp;REPT("-"&amp;COUNTIF(AG$6:AG$134,"&gt;="&amp;AG$6:AG$134),COUNTIF(AG$6:AG$134,AG67)&gt;1)</f>
        <v>25-64</v>
      </c>
      <c r="AT67" s="143" t="str">
        <f t="shared" ref="AT67:AW67" si="36">COUNTIF(AU$6:AU$134,"&gt;"&amp;AU$6:AU$134)+1&amp;REPT("-"&amp;COUNTIF(AU$6:AU$134,"&gt;="&amp;AU$6:AU$134),COUNTIF(AU$6:AU$134,AU67)&gt;1)</f>
        <v>1-64</v>
      </c>
      <c r="AU67" s="143" t="str">
        <f t="shared" si="36"/>
        <v>1-0</v>
      </c>
      <c r="AV67" s="143" t="str">
        <f t="shared" si="36"/>
        <v>1</v>
      </c>
      <c r="AW67" s="143" t="str">
        <f t="shared" si="36"/>
        <v>34</v>
      </c>
      <c r="AX67" s="145">
        <f>IF(X67="Х","Х",IF(Y67&lt;3,B67,"Х"))</f>
        <v>31</v>
      </c>
      <c r="AY67" s="146" t="s">
        <v>195</v>
      </c>
      <c r="AZ67" s="146"/>
      <c r="BA67" s="146" t="s">
        <v>195</v>
      </c>
      <c r="BB67" s="146"/>
      <c r="BC67" s="49" t="s">
        <v>195</v>
      </c>
      <c r="BD67" s="225"/>
      <c r="BE67" s="49" t="s">
        <v>195</v>
      </c>
      <c r="BF67" s="224"/>
      <c r="BG67" s="49" t="s">
        <v>195</v>
      </c>
      <c r="BH67" s="49" t="s">
        <v>195</v>
      </c>
      <c r="BI67" s="49"/>
      <c r="BJ67" s="49"/>
      <c r="BK67" s="49"/>
      <c r="BL67" s="49"/>
      <c r="BM67" s="195">
        <v>31.0</v>
      </c>
      <c r="BN67" s="196"/>
      <c r="BO67" s="153" t="str">
        <f>IF(BM67&lt;BN67,BM67,"")</f>
        <v/>
      </c>
      <c r="BP67" s="196" t="s">
        <v>195</v>
      </c>
      <c r="BQ67" s="197"/>
      <c r="BR67" s="198" t="s">
        <v>195</v>
      </c>
      <c r="BS67" s="196"/>
      <c r="BT67" s="175" t="str">
        <f>IF(BR67&lt;BS67,BR67,"")</f>
        <v/>
      </c>
      <c r="BU67" s="196" t="s">
        <v>195</v>
      </c>
      <c r="BV67" s="196"/>
      <c r="BW67" s="199">
        <v>31.0</v>
      </c>
      <c r="BX67" s="74" t="s">
        <v>194</v>
      </c>
      <c r="BY67" s="160">
        <f t="array" ref="BY67">IF(BW67&lt;BX67,BW67,"")</f>
        <v>31</v>
      </c>
      <c r="BZ67" s="160">
        <f t="shared" si="17"/>
        <v>31</v>
      </c>
      <c r="CA67" s="74">
        <f>IFERROR(__xludf.DUMMYFUNCTION("""COMPUTED_VALUE"""),62.0)</f>
        <v>62</v>
      </c>
      <c r="CB67" s="74">
        <f t="shared" si="18"/>
        <v>62</v>
      </c>
      <c r="CC67" s="200"/>
      <c r="CD67" s="243"/>
      <c r="CE67" s="200">
        <v>31.0</v>
      </c>
      <c r="CF67" s="25" t="s">
        <v>194</v>
      </c>
      <c r="CG67" s="153">
        <f t="array" ref="CG67">IF(CE67&lt;CF67,CE67,"")</f>
        <v>31</v>
      </c>
      <c r="CH67" s="74">
        <v>31.0</v>
      </c>
      <c r="CI67" s="182">
        <f>IFERROR(__xludf.DUMMYFUNCTION("""COMPUTED_VALUE"""),62.0)</f>
        <v>62</v>
      </c>
      <c r="CJ67" s="93">
        <v>31.0</v>
      </c>
      <c r="CK67" s="233" t="s">
        <v>194</v>
      </c>
      <c r="CL67" s="153">
        <f t="array" ref="CL67">IF(CJ67&lt;CK67,CJ67,"")</f>
        <v>31</v>
      </c>
      <c r="CM67" s="49">
        <v>31.0</v>
      </c>
      <c r="CN67" s="49">
        <f>IFERROR(__xludf.DUMMYFUNCTION("""COMPUTED_VALUE"""),62.0)</f>
        <v>62</v>
      </c>
      <c r="CO67" s="74">
        <v>31.0</v>
      </c>
      <c r="CP67" s="200" t="s">
        <v>194</v>
      </c>
      <c r="CQ67" s="153">
        <f t="array" ref="CQ67">IF(CO67&lt;CP67,CO67,"")</f>
        <v>31</v>
      </c>
      <c r="CR67" s="93">
        <v>31.0</v>
      </c>
      <c r="CS67" s="234">
        <f>IFERROR(__xludf.DUMMYFUNCTION("""COMPUTED_VALUE"""),62.0)</f>
        <v>62</v>
      </c>
      <c r="CT67" s="200">
        <v>31.0</v>
      </c>
      <c r="CU67" s="74" t="s">
        <v>194</v>
      </c>
      <c r="CV67" s="153">
        <f t="array" ref="CV67">IF(CT67&lt;CU67,CT67,"")</f>
        <v>31</v>
      </c>
      <c r="CW67" s="49">
        <v>31.0</v>
      </c>
      <c r="CX67" s="49">
        <f>IFERROR(__xludf.DUMMYFUNCTION("""COMPUTED_VALUE"""),62.0)</f>
        <v>62</v>
      </c>
      <c r="CY67" s="49">
        <v>31.0</v>
      </c>
      <c r="CZ67" s="49" t="s">
        <v>194</v>
      </c>
      <c r="DA67" s="153">
        <f t="array" ref="DA67">IF(CY67&lt;CZ67,CY67,"")</f>
        <v>31</v>
      </c>
      <c r="DB67" s="49">
        <v>31.0</v>
      </c>
      <c r="DC67" s="49">
        <f>IFERROR(__xludf.DUMMYFUNCTION("""COMPUTED_VALUE"""),62.0)</f>
        <v>62</v>
      </c>
      <c r="DD67" s="49">
        <v>31.0</v>
      </c>
      <c r="DE67" s="49"/>
      <c r="DF67" s="49"/>
      <c r="DG67" s="49"/>
      <c r="DH67" s="49"/>
    </row>
    <row r="68" ht="13.5" hidden="1" customHeight="1">
      <c r="A68" s="118"/>
      <c r="B68" s="165"/>
      <c r="C68" s="165"/>
      <c r="D68" s="165"/>
      <c r="E68" s="165"/>
      <c r="F68" s="166"/>
      <c r="G68" s="167"/>
      <c r="H68" s="168"/>
      <c r="I68" s="167"/>
      <c r="J68" s="168"/>
      <c r="K68" s="167"/>
      <c r="L68" s="168"/>
      <c r="M68" s="167"/>
      <c r="N68" s="168"/>
      <c r="O68" s="167"/>
      <c r="P68" s="168"/>
      <c r="Q68" s="167"/>
      <c r="R68" s="168"/>
      <c r="S68" s="167"/>
      <c r="T68" s="168"/>
      <c r="U68" s="169"/>
      <c r="V68" s="168"/>
      <c r="W68" s="169"/>
      <c r="X68" s="168"/>
      <c r="Y68" s="167"/>
      <c r="Z68" s="168"/>
      <c r="AA68" s="167"/>
      <c r="AB68" s="166"/>
      <c r="AC68" s="165"/>
      <c r="AD68" s="168"/>
      <c r="AE68" s="170"/>
      <c r="AF68" s="171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Y68" s="146" t="s">
        <v>195</v>
      </c>
      <c r="AZ68" s="146"/>
      <c r="BA68" s="146" t="s">
        <v>195</v>
      </c>
      <c r="BB68" s="146"/>
      <c r="BC68" s="49" t="s">
        <v>195</v>
      </c>
      <c r="BD68" s="225"/>
      <c r="BE68" s="49" t="s">
        <v>195</v>
      </c>
      <c r="BF68" s="224"/>
      <c r="BG68" s="49" t="s">
        <v>195</v>
      </c>
      <c r="BH68" s="49" t="s">
        <v>195</v>
      </c>
      <c r="BI68" s="49"/>
      <c r="BJ68" s="49"/>
      <c r="BK68" s="49"/>
      <c r="BL68" s="49"/>
      <c r="BM68" s="178"/>
      <c r="BO68" s="175" t="str">
        <f>IF(BO67="","",BN67)</f>
        <v/>
      </c>
      <c r="BP68" s="175" t="s">
        <v>195</v>
      </c>
      <c r="BQ68" s="197"/>
      <c r="BT68" s="175" t="str">
        <f>IF(BT67="","",BS67)</f>
        <v/>
      </c>
      <c r="BU68" s="175" t="s">
        <v>195</v>
      </c>
      <c r="BV68" s="196"/>
      <c r="BW68" s="178"/>
      <c r="BY68" s="160" t="str">
        <f>IF(BY67="","",BX67)</f>
        <v> </v>
      </c>
      <c r="BZ68" s="160" t="str">
        <f t="shared" si="17"/>
        <v> </v>
      </c>
      <c r="CA68" s="200">
        <f>IFERROR(__xludf.DUMMYFUNCTION("""COMPUTED_VALUE"""),63.0)</f>
        <v>63</v>
      </c>
      <c r="CB68" s="74">
        <f t="shared" si="18"/>
        <v>63</v>
      </c>
      <c r="CC68" s="200"/>
      <c r="CD68" s="243"/>
      <c r="CG68" s="180" t="str">
        <f>IF(CG67="","",CF67)</f>
        <v> </v>
      </c>
      <c r="CH68" s="200" t="s">
        <v>194</v>
      </c>
      <c r="CI68" s="182">
        <f>IFERROR(__xludf.DUMMYFUNCTION("""COMPUTED_VALUE"""),63.0)</f>
        <v>63</v>
      </c>
      <c r="CJ68" s="49" t="s">
        <v>195</v>
      </c>
      <c r="CK68" s="235"/>
      <c r="CL68" s="180" t="str">
        <f>IF(CL67="","",CK67)</f>
        <v> </v>
      </c>
      <c r="CM68" s="49" t="s">
        <v>194</v>
      </c>
      <c r="CN68" s="49">
        <f>IFERROR(__xludf.DUMMYFUNCTION("""COMPUTED_VALUE"""),63.0)</f>
        <v>63</v>
      </c>
      <c r="CQ68" s="180" t="str">
        <f>IF(CQ67="","",CP67)</f>
        <v> </v>
      </c>
      <c r="CR68" s="49" t="s">
        <v>194</v>
      </c>
      <c r="CS68" s="234">
        <f>IFERROR(__xludf.DUMMYFUNCTION("""COMPUTED_VALUE"""),63.0)</f>
        <v>63</v>
      </c>
      <c r="CV68" s="180" t="str">
        <f>IF(CV67="","",CU67)</f>
        <v> </v>
      </c>
      <c r="CW68" s="49" t="s">
        <v>194</v>
      </c>
      <c r="CX68" s="49">
        <f>IFERROR(__xludf.DUMMYFUNCTION("""COMPUTED_VALUE"""),63.0)</f>
        <v>63</v>
      </c>
      <c r="CY68" s="49" t="s">
        <v>195</v>
      </c>
      <c r="CZ68" s="49"/>
      <c r="DA68" s="180" t="str">
        <f>IF(DA67="","",CZ67)</f>
        <v> </v>
      </c>
      <c r="DB68" s="49" t="s">
        <v>194</v>
      </c>
      <c r="DC68" s="49">
        <f>IFERROR(__xludf.DUMMYFUNCTION("""COMPUTED_VALUE"""),63.0)</f>
        <v>63</v>
      </c>
      <c r="DD68" s="49" t="s">
        <v>195</v>
      </c>
      <c r="DE68" s="49"/>
      <c r="DF68" s="49"/>
      <c r="DG68" s="49"/>
      <c r="DH68" s="49"/>
    </row>
    <row r="69" ht="13.5" hidden="1" customHeight="1">
      <c r="A69" s="118"/>
      <c r="B69" s="187">
        <v>32.0</v>
      </c>
      <c r="C69" s="127" t="str">
        <f>(VLOOKUP($B69,'Пр.взв'!$D$6:$J$63,2,0))</f>
        <v>#N/A</v>
      </c>
      <c r="D69" s="189" t="str">
        <f>(VLOOKUP($B69,'Пр.взв'!$D$6:$J$63,5,0))</f>
        <v>#N/A</v>
      </c>
      <c r="E69" s="190" t="str">
        <f>(VLOOKUP($B69,'Пр.взв'!$D$6:$M$63,8,0))</f>
        <v>#N/A</v>
      </c>
      <c r="F69" s="130"/>
      <c r="G69" s="134"/>
      <c r="H69" s="132"/>
      <c r="I69" s="136"/>
      <c r="J69" s="133" t="str">
        <f>IF(H69="Х","Х",IF($AC69&lt;6," ","Х"))</f>
        <v> </v>
      </c>
      <c r="K69" s="134"/>
      <c r="L69" s="133" t="str">
        <f>IF(J69="Х","Х",IF(K69&lt;3," ",IF($AC69&lt;6," ","Х")))</f>
        <v> </v>
      </c>
      <c r="M69" s="134"/>
      <c r="N69" s="133" t="str">
        <f>IF(L69="Х","Х",IF(M69&lt;3," ",IF($AC69&lt;6," ","Х")))</f>
        <v> </v>
      </c>
      <c r="O69" s="134"/>
      <c r="P69" s="133" t="str">
        <f>IF(N69="Х","Х",IF(O69&lt;3," ",IF($AC69&lt;6," ","Х")))</f>
        <v> </v>
      </c>
      <c r="Q69" s="134"/>
      <c r="R69" s="133" t="str">
        <f>IF(P69="Х","Х",IF(Q69&lt;3," ",IF($AC69&lt;6," ","Х")))</f>
        <v> </v>
      </c>
      <c r="S69" s="134"/>
      <c r="T69" s="133" t="str">
        <f>IF(R69="Х","Х",IF(S69&lt;3," ",IF($AC69&lt;6," ","Х")))</f>
        <v> </v>
      </c>
      <c r="U69" s="135"/>
      <c r="V69" s="133" t="str">
        <f>IF(T69="Х","Х",IF(U69&lt;3," ",IF($AC69&lt;6," ","Х")))</f>
        <v> </v>
      </c>
      <c r="W69" s="135"/>
      <c r="X69" s="133" t="str">
        <f>IF(V69="А1",$AZ$7,IF(V69="Б2",$AZ$6,IF(V69="Б1",$BA$7,IF(V69="А2",$BA$6,IF(V69="Х","Х",IF(V69&lt;6," "," "))))))</f>
        <v> </v>
      </c>
      <c r="Y69" s="136"/>
      <c r="Z69" s="133" t="str">
        <f>IF(V69="Х","Х",IF(ISBLANK(Y69),"",IF(Y69&gt;2.5," ",IF(B69=BB$6,BB$7,BB$6))))</f>
        <v/>
      </c>
      <c r="AA69" s="136"/>
      <c r="AB69" s="240" t="str">
        <f>IF(H69="Х",F$5,IF(J69="Х",H$5,IF(L69="Х",J$5,IF(N69="Х",L$5,IF(P69="Х",N$5,IF(R69="Х",P$5,IF(T69="Х",R$5,IF(X69="Х",T$5,""))))))))</f>
        <v/>
      </c>
      <c r="AC69" s="138">
        <f>SUM(G69+I69+K69+M69+O69+Q69+S69+U69+Y69+AA69)</f>
        <v>0</v>
      </c>
      <c r="AD69" s="241" t="str">
        <f>AF69</f>
        <v>25-71</v>
      </c>
      <c r="AE69" s="140" t="str">
        <f>AD69</f>
        <v>25-71</v>
      </c>
      <c r="AF69" s="141" t="str">
        <f>COUNTIF(AG$6:AG$148,"&gt;"&amp;AG$6:AG$148)+1&amp;REPT("-"&amp;COUNTIF(AG$6:AG$148,"&gt;="&amp;AG$6:AG$148),COUNTIF(AG$6:AG$148,AG69)&gt;1)</f>
        <v>25-71</v>
      </c>
      <c r="AG69" s="142">
        <f>(AR69*100)+(AP69*10)-AC69</f>
        <v>80</v>
      </c>
      <c r="AH69" s="143" t="str">
        <f>IF(OR(F69="Х",F69="св")," ",IF(AND(G69&gt;=0,G69&lt;3),"1"," "))</f>
        <v>1</v>
      </c>
      <c r="AI69" s="90" t="str">
        <f>IF(OR(H69="Х",H69="св")," ",IF(AND(I69&gt;=0,I69&lt;3),"1"," "))</f>
        <v>1</v>
      </c>
      <c r="AJ69" s="90" t="str">
        <f>IF(OR(J69="Х",J69="св")," ",IF(AND(K69&gt;=0,K69&lt;3),"1"," "))</f>
        <v>1</v>
      </c>
      <c r="AK69" s="90" t="str">
        <f>IF(OR(L69="Х",L69="св")," ",IF(AND(M69&gt;=0,M69&lt;3),"1"," "))</f>
        <v>1</v>
      </c>
      <c r="AL69" s="90" t="str">
        <f>IF(OR(N69="Х",N69="св")," ",IF(AND(O69&gt;=0,O69&lt;3),"1"," "))</f>
        <v>1</v>
      </c>
      <c r="AM69" s="90" t="str">
        <f>IF(OR(P69="Х",P69="св")," ",IF(AND(Q69&gt;=0,Q69&lt;3),"1"," "))</f>
        <v>1</v>
      </c>
      <c r="AN69" s="90" t="str">
        <f>IF(OR(R69="Х",R69="св")," ",IF(AND(S69&gt;=0,S69&lt;3),"1"," "))</f>
        <v>1</v>
      </c>
      <c r="AO69" s="90" t="str">
        <f>IF(OR(T69="Х",T69="св")," ",IF(AND(U69&gt;=0,U69&lt;3),"1"," "))</f>
        <v>1</v>
      </c>
      <c r="AP69" s="90">
        <f>COUNTIF(AH69:AO70,1)</f>
        <v>8</v>
      </c>
      <c r="AQ69" s="90">
        <f>AG69-AC69</f>
        <v>80</v>
      </c>
      <c r="AR69" s="144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90" t="str">
        <f>COUNTIF(AG$6:AG$134,"&gt;"&amp;AG$6:AG$134)+1&amp;REPT("-"&amp;COUNTIF(AG$6:AG$134,"&gt;="&amp;AG$6:AG$134),COUNTIF(AG$6:AG$134,AG69)&gt;1)</f>
        <v>25-64</v>
      </c>
      <c r="AT69" s="143" t="str">
        <f t="shared" ref="AT69:AW69" si="37">COUNTIF(AU$6:AU$134,"&gt;"&amp;AU$6:AU$134)+1&amp;REPT("-"&amp;COUNTIF(AU$6:AU$134,"&gt;="&amp;AU$6:AU$134),COUNTIF(AU$6:AU$134,AU69)&gt;1)</f>
        <v>1-64</v>
      </c>
      <c r="AU69" s="143" t="str">
        <f t="shared" si="37"/>
        <v>1-0</v>
      </c>
      <c r="AV69" s="143" t="str">
        <f t="shared" si="37"/>
        <v>1</v>
      </c>
      <c r="AW69" s="143" t="str">
        <f t="shared" si="37"/>
        <v>33</v>
      </c>
      <c r="AX69" s="145">
        <f>IF(X69="Х","Х",IF(Y69&lt;3,B69,"Х"))</f>
        <v>32</v>
      </c>
      <c r="AY69" s="146" t="s">
        <v>195</v>
      </c>
      <c r="AZ69" s="146"/>
      <c r="BA69" s="146" t="s">
        <v>195</v>
      </c>
      <c r="BB69" s="146"/>
      <c r="BC69" s="49" t="s">
        <v>195</v>
      </c>
      <c r="BD69" s="225"/>
      <c r="BE69" s="49" t="s">
        <v>195</v>
      </c>
      <c r="BF69" s="224"/>
      <c r="BG69" s="49" t="s">
        <v>195</v>
      </c>
      <c r="BH69" s="49" t="s">
        <v>195</v>
      </c>
      <c r="BI69" s="49"/>
      <c r="BJ69" s="49"/>
      <c r="BK69" s="49"/>
      <c r="BL69" s="49"/>
      <c r="BM69" s="195">
        <v>32.0</v>
      </c>
      <c r="BN69" s="196"/>
      <c r="BO69" s="153" t="str">
        <f>IF(BM69&lt;BN69,BM69,"")</f>
        <v/>
      </c>
      <c r="BP69" s="196" t="s">
        <v>195</v>
      </c>
      <c r="BQ69" s="197"/>
      <c r="BR69" s="198" t="s">
        <v>195</v>
      </c>
      <c r="BS69" s="196"/>
      <c r="BT69" s="175" t="str">
        <f>IF(BR69&lt;BS69,BR69,"")</f>
        <v/>
      </c>
      <c r="BU69" s="196" t="s">
        <v>195</v>
      </c>
      <c r="BV69" s="196"/>
      <c r="BW69" s="199">
        <v>32.0</v>
      </c>
      <c r="BX69" s="74" t="s">
        <v>194</v>
      </c>
      <c r="BY69" s="160">
        <f t="array" ref="BY69">IF(BW69&lt;BX69,BW69,"")</f>
        <v>32</v>
      </c>
      <c r="BZ69" s="160">
        <f t="shared" si="17"/>
        <v>32</v>
      </c>
      <c r="CA69" s="74">
        <f>IFERROR(__xludf.DUMMYFUNCTION("""COMPUTED_VALUE"""),64.0)</f>
        <v>64</v>
      </c>
      <c r="CB69" s="74">
        <f t="shared" si="18"/>
        <v>64</v>
      </c>
      <c r="CC69" s="200"/>
      <c r="CD69" s="243"/>
      <c r="CE69" s="200">
        <v>32.0</v>
      </c>
      <c r="CF69" s="25" t="s">
        <v>194</v>
      </c>
      <c r="CG69" s="153">
        <f t="array" ref="CG69">IF(CE69&lt;CF69,CE69,"")</f>
        <v>32</v>
      </c>
      <c r="CH69" s="74">
        <v>32.0</v>
      </c>
      <c r="CI69" s="182">
        <f>IFERROR(__xludf.DUMMYFUNCTION("""COMPUTED_VALUE"""),64.0)</f>
        <v>64</v>
      </c>
      <c r="CJ69" s="93">
        <v>32.0</v>
      </c>
      <c r="CK69" s="233" t="s">
        <v>194</v>
      </c>
      <c r="CL69" s="153">
        <f t="array" ref="CL69">IF(CJ69&lt;CK69,CJ69,"")</f>
        <v>32</v>
      </c>
      <c r="CM69" s="49">
        <v>32.0</v>
      </c>
      <c r="CN69" s="49">
        <f>IFERROR(__xludf.DUMMYFUNCTION("""COMPUTED_VALUE"""),64.0)</f>
        <v>64</v>
      </c>
      <c r="CO69" s="74">
        <v>32.0</v>
      </c>
      <c r="CP69" s="200" t="s">
        <v>194</v>
      </c>
      <c r="CQ69" s="153">
        <f t="array" ref="CQ69">IF(CO69&lt;CP69,CO69,"")</f>
        <v>32</v>
      </c>
      <c r="CR69" s="93">
        <v>32.0</v>
      </c>
      <c r="CS69" s="234">
        <f>IFERROR(__xludf.DUMMYFUNCTION("""COMPUTED_VALUE"""),64.0)</f>
        <v>64</v>
      </c>
      <c r="CT69" s="200">
        <v>32.0</v>
      </c>
      <c r="CU69" s="74" t="s">
        <v>194</v>
      </c>
      <c r="CV69" s="153">
        <f t="array" ref="CV69">IF(CT69&lt;CU69,CT69,"")</f>
        <v>32</v>
      </c>
      <c r="CW69" s="49">
        <v>32.0</v>
      </c>
      <c r="CX69" s="49">
        <f>IFERROR(__xludf.DUMMYFUNCTION("""COMPUTED_VALUE"""),64.0)</f>
        <v>64</v>
      </c>
      <c r="CY69" s="49">
        <v>32.0</v>
      </c>
      <c r="CZ69" s="49" t="s">
        <v>194</v>
      </c>
      <c r="DA69" s="153">
        <f t="array" ref="DA69">IF(CY69&lt;CZ69,CY69,"")</f>
        <v>32</v>
      </c>
      <c r="DB69" s="49">
        <v>32.0</v>
      </c>
      <c r="DC69" s="49">
        <f>IFERROR(__xludf.DUMMYFUNCTION("""COMPUTED_VALUE"""),64.0)</f>
        <v>64</v>
      </c>
      <c r="DD69" s="49">
        <v>32.0</v>
      </c>
      <c r="DE69" s="49"/>
      <c r="DF69" s="49"/>
      <c r="DG69" s="49"/>
      <c r="DH69" s="49"/>
    </row>
    <row r="70" ht="13.5" hidden="1" customHeight="1">
      <c r="A70" s="118"/>
      <c r="B70" s="165"/>
      <c r="C70" s="165"/>
      <c r="D70" s="165"/>
      <c r="E70" s="165"/>
      <c r="F70" s="166"/>
      <c r="G70" s="167"/>
      <c r="H70" s="168"/>
      <c r="I70" s="167"/>
      <c r="J70" s="168"/>
      <c r="K70" s="167"/>
      <c r="L70" s="168"/>
      <c r="M70" s="167"/>
      <c r="N70" s="168"/>
      <c r="O70" s="167"/>
      <c r="P70" s="168"/>
      <c r="Q70" s="167"/>
      <c r="R70" s="168"/>
      <c r="S70" s="167"/>
      <c r="T70" s="168"/>
      <c r="U70" s="169"/>
      <c r="V70" s="168"/>
      <c r="W70" s="169"/>
      <c r="X70" s="168"/>
      <c r="Y70" s="167"/>
      <c r="Z70" s="168"/>
      <c r="AA70" s="167"/>
      <c r="AB70" s="166"/>
      <c r="AC70" s="165"/>
      <c r="AD70" s="168"/>
      <c r="AE70" s="170"/>
      <c r="AF70" s="171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Y70" s="146" t="s">
        <v>195</v>
      </c>
      <c r="AZ70" s="146"/>
      <c r="BA70" s="146" t="s">
        <v>195</v>
      </c>
      <c r="BB70" s="146"/>
      <c r="BC70" s="49" t="s">
        <v>195</v>
      </c>
      <c r="BD70" s="225"/>
      <c r="BE70" s="49" t="s">
        <v>195</v>
      </c>
      <c r="BF70" s="224"/>
      <c r="BG70" s="49" t="s">
        <v>195</v>
      </c>
      <c r="BH70" s="49" t="s">
        <v>195</v>
      </c>
      <c r="BI70" s="49"/>
      <c r="BJ70" s="49"/>
      <c r="BK70" s="49"/>
      <c r="BL70" s="49"/>
      <c r="BM70" s="178"/>
      <c r="BO70" s="175" t="str">
        <f>IF(BO69="","",BN69)</f>
        <v/>
      </c>
      <c r="BP70" s="175" t="s">
        <v>195</v>
      </c>
      <c r="BQ70" s="197"/>
      <c r="BT70" s="175" t="str">
        <f>IF(BT69="","",BS69)</f>
        <v/>
      </c>
      <c r="BU70" s="175" t="s">
        <v>195</v>
      </c>
      <c r="BV70" s="196"/>
      <c r="BW70" s="178"/>
      <c r="BY70" s="160" t="str">
        <f>IF(BY69="","",BX69)</f>
        <v> </v>
      </c>
      <c r="BZ70" s="160" t="str">
        <f t="shared" si="17"/>
        <v> </v>
      </c>
      <c r="CA70" s="200">
        <f>IFERROR(__xludf.DUMMYFUNCTION("""COMPUTED_VALUE"""),65.0)</f>
        <v>65</v>
      </c>
      <c r="CB70" s="74">
        <f t="shared" si="18"/>
        <v>65</v>
      </c>
      <c r="CC70" s="200"/>
      <c r="CD70" s="243"/>
      <c r="CG70" s="180" t="str">
        <f>IF(CG69="","",CF69)</f>
        <v> </v>
      </c>
      <c r="CH70" s="200" t="s">
        <v>194</v>
      </c>
      <c r="CI70" s="182">
        <f>IFERROR(__xludf.DUMMYFUNCTION("""COMPUTED_VALUE"""),65.0)</f>
        <v>65</v>
      </c>
      <c r="CJ70" s="49" t="s">
        <v>195</v>
      </c>
      <c r="CK70" s="235"/>
      <c r="CL70" s="180" t="str">
        <f>IF(CL69="","",CK69)</f>
        <v> </v>
      </c>
      <c r="CM70" s="49" t="s">
        <v>194</v>
      </c>
      <c r="CN70" s="49">
        <f>IFERROR(__xludf.DUMMYFUNCTION("""COMPUTED_VALUE"""),65.0)</f>
        <v>65</v>
      </c>
      <c r="CQ70" s="180" t="str">
        <f>IF(CQ69="","",CP69)</f>
        <v> </v>
      </c>
      <c r="CR70" s="49" t="s">
        <v>194</v>
      </c>
      <c r="CS70" s="234">
        <f>IFERROR(__xludf.DUMMYFUNCTION("""COMPUTED_VALUE"""),65.0)</f>
        <v>65</v>
      </c>
      <c r="CV70" s="180" t="str">
        <f>IF(CV69="","",CU69)</f>
        <v> </v>
      </c>
      <c r="CW70" s="49" t="s">
        <v>194</v>
      </c>
      <c r="CX70" s="49">
        <f>IFERROR(__xludf.DUMMYFUNCTION("""COMPUTED_VALUE"""),65.0)</f>
        <v>65</v>
      </c>
      <c r="CY70" s="49" t="s">
        <v>195</v>
      </c>
      <c r="CZ70" s="49"/>
      <c r="DA70" s="180" t="str">
        <f>IF(DA69="","",CZ69)</f>
        <v> </v>
      </c>
      <c r="DB70" s="49" t="s">
        <v>194</v>
      </c>
      <c r="DC70" s="49">
        <f>IFERROR(__xludf.DUMMYFUNCTION("""COMPUTED_VALUE"""),65.0)</f>
        <v>65</v>
      </c>
      <c r="DD70" s="49" t="s">
        <v>195</v>
      </c>
      <c r="DE70" s="49"/>
      <c r="DF70" s="49"/>
      <c r="DG70" s="49"/>
      <c r="DH70" s="49"/>
    </row>
    <row r="71" ht="13.5" hidden="1" customHeight="1">
      <c r="A71" s="118"/>
      <c r="B71" s="187">
        <v>33.0</v>
      </c>
      <c r="C71" s="188" t="str">
        <f>(VLOOKUP($B71,'Пр.взв'!$D$6:$J$63,2,0))</f>
        <v>#N/A</v>
      </c>
      <c r="D71" s="189" t="str">
        <f>(VLOOKUP($B71,'Пр.взв'!$D$6:$J$63,5,0))</f>
        <v>#N/A</v>
      </c>
      <c r="E71" s="190" t="str">
        <f>(VLOOKUP($B71,'Пр.взв'!$D$6:$M$63,8,0))</f>
        <v>#N/A</v>
      </c>
      <c r="F71" s="130"/>
      <c r="G71" s="255"/>
      <c r="H71" s="132"/>
      <c r="I71" s="255"/>
      <c r="J71" s="133" t="str">
        <f>IF(H71="Х","Х",IF($AC71&lt;6," ","Х"))</f>
        <v> </v>
      </c>
      <c r="K71" s="134"/>
      <c r="L71" s="133" t="str">
        <f>IF(J71="Х","Х",IF(K71&lt;3," ",IF($AC71&lt;6," ","Х")))</f>
        <v> </v>
      </c>
      <c r="M71" s="134"/>
      <c r="N71" s="133" t="str">
        <f>IF(L71="Х","Х",IF(M71&lt;3," ",IF($AC71&lt;6," ","Х")))</f>
        <v> </v>
      </c>
      <c r="O71" s="134"/>
      <c r="P71" s="133" t="str">
        <f>IF(N71="Х","Х",IF(O71&lt;3," ",IF($AC71&lt;6," ","Х")))</f>
        <v> </v>
      </c>
      <c r="Q71" s="134"/>
      <c r="R71" s="133" t="str">
        <f>IF(P71="Х","Х",IF(Q71&lt;3," ",IF($AC71&lt;6," ","Х")))</f>
        <v> </v>
      </c>
      <c r="S71" s="134"/>
      <c r="T71" s="133" t="str">
        <f>IF(R71="Х","Х",IF(S71&lt;3," ",IF($AC71&lt;6," ","Х")))</f>
        <v> </v>
      </c>
      <c r="U71" s="135"/>
      <c r="V71" s="133" t="str">
        <f>IF(T71="Х","Х",IF(U71&lt;3," ",IF($AC71&lt;6," ","Х")))</f>
        <v> </v>
      </c>
      <c r="W71" s="135"/>
      <c r="X71" s="133" t="str">
        <f>IF(V71="А1",$AZ$7,IF(V71="Б2",$AZ$6,IF(V71="Б1",$BA$7,IF(V71="А2",$BA$6,IF(V71="Х","Х",IF(V71&lt;6," "," "))))))</f>
        <v> </v>
      </c>
      <c r="Y71" s="136"/>
      <c r="Z71" s="133" t="str">
        <f>IF(V71="Х","Х",IF(ISBLANK(Y71),"",IF(Y71&gt;2.5," ",IF(B71=BB$6,BB$7,BB$6))))</f>
        <v/>
      </c>
      <c r="AA71" s="136"/>
      <c r="AB71" s="240" t="str">
        <f>IF(H71="Х",F$5,IF(J71="Х",H$5,IF(L71="Х",J$5,IF(N71="Х",L$5,IF(P71="Х",N$5,IF(R71="Х",P$5,IF(T71="Х",R$5,IF(X71="Х",T$5,""))))))))</f>
        <v/>
      </c>
      <c r="AC71" s="138">
        <f>SUM(G71+I71+K71+M71+O71+Q71+S71+U71+Y71+AA71)</f>
        <v>0</v>
      </c>
      <c r="AD71" s="241" t="str">
        <f>AF71</f>
        <v>25-71</v>
      </c>
      <c r="AE71" s="140" t="str">
        <f>AD71</f>
        <v>25-71</v>
      </c>
      <c r="AF71" s="141" t="str">
        <f>COUNTIF(AG$6:AG$148,"&gt;"&amp;AG$6:AG$148)+1&amp;REPT("-"&amp;COUNTIF(AG$6:AG$148,"&gt;="&amp;AG$6:AG$148),COUNTIF(AG$6:AG$148,AG71)&gt;1)</f>
        <v>25-71</v>
      </c>
      <c r="AG71" s="142">
        <f>(AR71*100)+(AP71*10)-AC71</f>
        <v>80</v>
      </c>
      <c r="AH71" s="143" t="str">
        <f>IF(OR(F71="Х",F71="св")," ",IF(AND(G71&gt;=0,G71&lt;3),"1"," "))</f>
        <v>1</v>
      </c>
      <c r="AI71" s="90" t="str">
        <f>IF(OR(H71="Х",H71="св")," ",IF(AND(I71&gt;=0,I71&lt;3),"1"," "))</f>
        <v>1</v>
      </c>
      <c r="AJ71" s="90" t="str">
        <f>IF(OR(J71="Х",J71="св")," ",IF(AND(K71&gt;=0,K71&lt;3),"1"," "))</f>
        <v>1</v>
      </c>
      <c r="AK71" s="90" t="str">
        <f>IF(OR(L71="Х",L71="св")," ",IF(AND(M71&gt;=0,M71&lt;3),"1"," "))</f>
        <v>1</v>
      </c>
      <c r="AL71" s="90" t="str">
        <f>IF(OR(N71="Х",N71="св")," ",IF(AND(O71&gt;=0,O71&lt;3),"1"," "))</f>
        <v>1</v>
      </c>
      <c r="AM71" s="90" t="str">
        <f>IF(OR(P71="Х",P71="св")," ",IF(AND(Q71&gt;=0,Q71&lt;3),"1"," "))</f>
        <v>1</v>
      </c>
      <c r="AN71" s="90" t="str">
        <f>IF(OR(R71="Х",R71="св")," ",IF(AND(S71&gt;=0,S71&lt;3),"1"," "))</f>
        <v>1</v>
      </c>
      <c r="AO71" s="90" t="str">
        <f>IF(OR(T71="Х",T71="св")," ",IF(AND(U71&gt;=0,U71&lt;3),"1"," "))</f>
        <v>1</v>
      </c>
      <c r="AP71" s="90">
        <f>COUNTIF(AH71:AO72,1)</f>
        <v>8</v>
      </c>
      <c r="AQ71" s="90">
        <f>AG71-AC71</f>
        <v>80</v>
      </c>
      <c r="AR71" s="144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90" t="str">
        <f>COUNTIF(AG$6:AG$134,"&gt;"&amp;AG$6:AG$134)+1&amp;REPT("-"&amp;COUNTIF(AG$6:AG$134,"&gt;="&amp;AG$6:AG$134),COUNTIF(AG$6:AG$134,AG71)&gt;1)</f>
        <v>25-64</v>
      </c>
      <c r="AT71" s="143" t="str">
        <f t="shared" ref="AT71:AW71" si="38">COUNTIF(AU$6:AU$134,"&gt;"&amp;AU$6:AU$134)+1&amp;REPT("-"&amp;COUNTIF(AU$6:AU$134,"&gt;="&amp;AU$6:AU$134),COUNTIF(AU$6:AU$134,AU71)&gt;1)</f>
        <v>1-64</v>
      </c>
      <c r="AU71" s="143" t="str">
        <f t="shared" si="38"/>
        <v>1-0</v>
      </c>
      <c r="AV71" s="143" t="str">
        <f t="shared" si="38"/>
        <v>1</v>
      </c>
      <c r="AW71" s="143" t="str">
        <f t="shared" si="38"/>
        <v>32</v>
      </c>
      <c r="AX71" s="145">
        <f>IF(X71="Х","Х",IF(Y71&lt;3,B71,"Х"))</f>
        <v>33</v>
      </c>
      <c r="AY71" s="146" t="s">
        <v>195</v>
      </c>
      <c r="AZ71" s="146"/>
      <c r="BA71" s="146" t="s">
        <v>195</v>
      </c>
      <c r="BB71" s="146"/>
      <c r="BC71" s="49" t="s">
        <v>195</v>
      </c>
      <c r="BD71" s="225"/>
      <c r="BE71" s="49" t="s">
        <v>195</v>
      </c>
      <c r="BF71" s="224"/>
      <c r="BG71" s="49" t="s">
        <v>195</v>
      </c>
      <c r="BH71" s="49" t="s">
        <v>195</v>
      </c>
      <c r="BI71" s="49"/>
      <c r="BJ71" s="49"/>
      <c r="BK71" s="49"/>
      <c r="BL71" s="49"/>
      <c r="BM71" s="195">
        <v>33.0</v>
      </c>
      <c r="BN71" s="196"/>
      <c r="BO71" s="153" t="str">
        <f>IF(BM71&lt;BN71,BM71,"")</f>
        <v/>
      </c>
      <c r="BP71" s="196" t="s">
        <v>195</v>
      </c>
      <c r="BQ71" s="197"/>
      <c r="BR71" s="198" t="s">
        <v>195</v>
      </c>
      <c r="BS71" s="196"/>
      <c r="BT71" s="175" t="str">
        <f>IF(BR71&lt;BS71,BR71,"")</f>
        <v/>
      </c>
      <c r="BU71" s="196" t="s">
        <v>195</v>
      </c>
      <c r="BV71" s="196"/>
      <c r="BW71" s="199">
        <v>33.0</v>
      </c>
      <c r="BX71" s="74" t="s">
        <v>194</v>
      </c>
      <c r="BY71" s="160">
        <f t="array" ref="BY71">IF(BW71&lt;BX71,BW71,"")</f>
        <v>33</v>
      </c>
      <c r="BZ71" s="160">
        <f t="shared" si="17"/>
        <v>33</v>
      </c>
      <c r="CA71" s="74">
        <f>IFERROR(__xludf.DUMMYFUNCTION("""COMPUTED_VALUE"""),66.0)</f>
        <v>66</v>
      </c>
      <c r="CB71" s="74">
        <f t="shared" si="18"/>
        <v>66</v>
      </c>
      <c r="CC71" s="200"/>
      <c r="CD71" s="243"/>
      <c r="CE71" s="200">
        <v>33.0</v>
      </c>
      <c r="CF71" s="25" t="s">
        <v>194</v>
      </c>
      <c r="CG71" s="153">
        <f t="array" ref="CG71">IF(CE71&lt;CF71,CE71,"")</f>
        <v>33</v>
      </c>
      <c r="CH71" s="74">
        <v>33.0</v>
      </c>
      <c r="CI71" s="182">
        <f>IFERROR(__xludf.DUMMYFUNCTION("""COMPUTED_VALUE"""),66.0)</f>
        <v>66</v>
      </c>
      <c r="CJ71" s="93">
        <v>33.0</v>
      </c>
      <c r="CK71" s="233" t="s">
        <v>194</v>
      </c>
      <c r="CL71" s="153">
        <f t="array" ref="CL71">IF(CJ71&lt;CK71,CJ71,"")</f>
        <v>33</v>
      </c>
      <c r="CM71" s="49">
        <v>33.0</v>
      </c>
      <c r="CN71" s="49">
        <f>IFERROR(__xludf.DUMMYFUNCTION("""COMPUTED_VALUE"""),66.0)</f>
        <v>66</v>
      </c>
      <c r="CO71" s="74">
        <v>33.0</v>
      </c>
      <c r="CP71" s="200" t="s">
        <v>194</v>
      </c>
      <c r="CQ71" s="153">
        <f t="array" ref="CQ71">IF(CO71&lt;CP71,CO71,"")</f>
        <v>33</v>
      </c>
      <c r="CR71" s="93">
        <v>33.0</v>
      </c>
      <c r="CS71" s="234">
        <f>IFERROR(__xludf.DUMMYFUNCTION("""COMPUTED_VALUE"""),66.0)</f>
        <v>66</v>
      </c>
      <c r="CT71" s="200">
        <v>33.0</v>
      </c>
      <c r="CU71" s="74" t="s">
        <v>194</v>
      </c>
      <c r="CV71" s="153">
        <f t="array" ref="CV71">IF(CT71&lt;CU71,CT71,"")</f>
        <v>33</v>
      </c>
      <c r="CW71" s="49">
        <v>33.0</v>
      </c>
      <c r="CX71" s="49">
        <f>IFERROR(__xludf.DUMMYFUNCTION("""COMPUTED_VALUE"""),66.0)</f>
        <v>66</v>
      </c>
      <c r="CY71" s="49">
        <v>33.0</v>
      </c>
      <c r="CZ71" s="49" t="s">
        <v>194</v>
      </c>
      <c r="DA71" s="153">
        <f t="array" ref="DA71">IF(CY71&lt;CZ71,CY71,"")</f>
        <v>33</v>
      </c>
      <c r="DB71" s="49">
        <v>33.0</v>
      </c>
      <c r="DC71" s="49">
        <f>IFERROR(__xludf.DUMMYFUNCTION("""COMPUTED_VALUE"""),66.0)</f>
        <v>66</v>
      </c>
      <c r="DD71" s="49">
        <v>33.0</v>
      </c>
      <c r="DE71" s="49"/>
      <c r="DF71" s="49"/>
      <c r="DG71" s="49"/>
      <c r="DH71" s="49"/>
    </row>
    <row r="72" ht="13.5" hidden="1" customHeight="1">
      <c r="A72" s="118"/>
      <c r="B72" s="165"/>
      <c r="C72" s="165"/>
      <c r="D72" s="165"/>
      <c r="E72" s="165"/>
      <c r="F72" s="166"/>
      <c r="G72" s="167"/>
      <c r="H72" s="168"/>
      <c r="I72" s="167"/>
      <c r="J72" s="168"/>
      <c r="K72" s="167"/>
      <c r="L72" s="168"/>
      <c r="M72" s="167"/>
      <c r="N72" s="168"/>
      <c r="O72" s="167"/>
      <c r="P72" s="168"/>
      <c r="Q72" s="167"/>
      <c r="R72" s="168"/>
      <c r="S72" s="167"/>
      <c r="T72" s="168"/>
      <c r="U72" s="169"/>
      <c r="V72" s="168"/>
      <c r="W72" s="169"/>
      <c r="X72" s="168"/>
      <c r="Y72" s="167"/>
      <c r="Z72" s="168"/>
      <c r="AA72" s="167"/>
      <c r="AB72" s="166"/>
      <c r="AC72" s="165"/>
      <c r="AD72" s="168"/>
      <c r="AE72" s="170"/>
      <c r="AF72" s="171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Y72" s="146" t="s">
        <v>195</v>
      </c>
      <c r="AZ72" s="146"/>
      <c r="BA72" s="146" t="s">
        <v>195</v>
      </c>
      <c r="BB72" s="146"/>
      <c r="BC72" s="49" t="s">
        <v>195</v>
      </c>
      <c r="BD72" s="225"/>
      <c r="BE72" s="49" t="s">
        <v>195</v>
      </c>
      <c r="BF72" s="224"/>
      <c r="BG72" s="49" t="s">
        <v>195</v>
      </c>
      <c r="BH72" s="49" t="s">
        <v>195</v>
      </c>
      <c r="BI72" s="49"/>
      <c r="BJ72" s="49"/>
      <c r="BK72" s="49"/>
      <c r="BL72" s="49"/>
      <c r="BM72" s="178"/>
      <c r="BO72" s="175" t="str">
        <f>IF(BO71="","",BN71)</f>
        <v/>
      </c>
      <c r="BP72" s="175" t="s">
        <v>195</v>
      </c>
      <c r="BQ72" s="197"/>
      <c r="BT72" s="175" t="str">
        <f>IF(BT71="","",BS71)</f>
        <v/>
      </c>
      <c r="BU72" s="175" t="s">
        <v>195</v>
      </c>
      <c r="BV72" s="196"/>
      <c r="BW72" s="178"/>
      <c r="BY72" s="160" t="str">
        <f>IF(BY71="","",BX71)</f>
        <v> </v>
      </c>
      <c r="BZ72" s="160" t="str">
        <f t="shared" si="17"/>
        <v> </v>
      </c>
      <c r="CA72" s="200">
        <f>IFERROR(__xludf.DUMMYFUNCTION("""COMPUTED_VALUE"""),67.0)</f>
        <v>67</v>
      </c>
      <c r="CB72" s="74">
        <f t="shared" si="18"/>
        <v>67</v>
      </c>
      <c r="CC72" s="200"/>
      <c r="CD72" s="243"/>
      <c r="CG72" s="180" t="str">
        <f>IF(CG71="","",CF71)</f>
        <v> </v>
      </c>
      <c r="CH72" s="200" t="s">
        <v>194</v>
      </c>
      <c r="CI72" s="182">
        <f>IFERROR(__xludf.DUMMYFUNCTION("""COMPUTED_VALUE"""),67.0)</f>
        <v>67</v>
      </c>
      <c r="CJ72" s="49" t="s">
        <v>195</v>
      </c>
      <c r="CK72" s="235"/>
      <c r="CL72" s="180" t="str">
        <f>IF(CL71="","",CK71)</f>
        <v> </v>
      </c>
      <c r="CM72" s="49" t="s">
        <v>194</v>
      </c>
      <c r="CN72" s="49">
        <f>IFERROR(__xludf.DUMMYFUNCTION("""COMPUTED_VALUE"""),67.0)</f>
        <v>67</v>
      </c>
      <c r="CQ72" s="180" t="str">
        <f>IF(CQ71="","",CP71)</f>
        <v> </v>
      </c>
      <c r="CR72" s="49" t="s">
        <v>194</v>
      </c>
      <c r="CS72" s="234">
        <f>IFERROR(__xludf.DUMMYFUNCTION("""COMPUTED_VALUE"""),67.0)</f>
        <v>67</v>
      </c>
      <c r="CV72" s="180" t="str">
        <f>IF(CV71="","",CU71)</f>
        <v> </v>
      </c>
      <c r="CW72" s="49" t="s">
        <v>194</v>
      </c>
      <c r="CX72" s="49">
        <f>IFERROR(__xludf.DUMMYFUNCTION("""COMPUTED_VALUE"""),67.0)</f>
        <v>67</v>
      </c>
      <c r="CY72" s="49" t="s">
        <v>195</v>
      </c>
      <c r="CZ72" s="49"/>
      <c r="DA72" s="180" t="str">
        <f>IF(DA71="","",CZ71)</f>
        <v> </v>
      </c>
      <c r="DB72" s="49" t="s">
        <v>194</v>
      </c>
      <c r="DC72" s="49">
        <f>IFERROR(__xludf.DUMMYFUNCTION("""COMPUTED_VALUE"""),67.0)</f>
        <v>67</v>
      </c>
      <c r="DD72" s="49" t="s">
        <v>195</v>
      </c>
      <c r="DE72" s="49"/>
      <c r="DF72" s="49"/>
      <c r="DG72" s="49"/>
      <c r="DH72" s="49"/>
    </row>
    <row r="73" ht="13.5" hidden="1" customHeight="1">
      <c r="A73" s="54"/>
      <c r="B73" s="187">
        <v>34.0</v>
      </c>
      <c r="C73" s="188" t="str">
        <f>(VLOOKUP($B73,'Пр.взв'!$D$6:$J$63,2,0))</f>
        <v>#N/A</v>
      </c>
      <c r="D73" s="189" t="str">
        <f>(VLOOKUP($B73,'Пр.взв'!$D$6:$J$63,5,0))</f>
        <v>#N/A</v>
      </c>
      <c r="E73" s="190" t="str">
        <f>(VLOOKUP($B73,'Пр.взв'!$D$6:$M$63,8,0))</f>
        <v>#N/A</v>
      </c>
      <c r="F73" s="130"/>
      <c r="G73" s="134"/>
      <c r="H73" s="132"/>
      <c r="I73" s="136"/>
      <c r="J73" s="133" t="str">
        <f>IF(H73="Х","Х",IF($AC73&lt;6," ","Х"))</f>
        <v> </v>
      </c>
      <c r="K73" s="134"/>
      <c r="L73" s="133" t="str">
        <f>IF(J73="Х","Х",IF(K73&lt;3," ",IF($AC73&lt;6," ","Х")))</f>
        <v> </v>
      </c>
      <c r="M73" s="134"/>
      <c r="N73" s="133" t="str">
        <f>IF(L73="Х","Х",IF(M73&lt;3," ",IF($AC73&lt;6," ","Х")))</f>
        <v> </v>
      </c>
      <c r="O73" s="134"/>
      <c r="P73" s="133" t="str">
        <f>IF(N73="Х","Х",IF(O73&lt;3," ",IF($AC73&lt;6," ","Х")))</f>
        <v> </v>
      </c>
      <c r="Q73" s="134"/>
      <c r="R73" s="133" t="str">
        <f>IF(P73="Х","Х",IF(Q73&lt;3," ",IF($AC73&lt;6," ","Х")))</f>
        <v> </v>
      </c>
      <c r="S73" s="134"/>
      <c r="T73" s="133" t="str">
        <f>IF(R73="Х","Х",IF(S73&lt;3," ",IF($AC73&lt;6," ","Х")))</f>
        <v> </v>
      </c>
      <c r="U73" s="135"/>
      <c r="V73" s="133" t="str">
        <f>IF(T73="Х","Х",IF(U73&lt;3," ",IF($AC73&lt;6," ","Х")))</f>
        <v> </v>
      </c>
      <c r="W73" s="135"/>
      <c r="X73" s="133" t="str">
        <f>IF(V73="А1",$AZ$7,IF(V73="Б2",$AZ$6,IF(V73="Б1",$BA$7,IF(V73="А2",$BA$6,IF(V73="Х","Х",IF(V73&lt;6," "," "))))))</f>
        <v> </v>
      </c>
      <c r="Y73" s="136"/>
      <c r="Z73" s="133" t="str">
        <f>IF(V73="Х","Х",IF(ISBLANK(Y73),"",IF(Y73&gt;2.5," ",IF(B73=BB$6,BB$7,BB$6))))</f>
        <v/>
      </c>
      <c r="AA73" s="136"/>
      <c r="AB73" s="240" t="str">
        <f>IF(H73="Х",F$5,IF(J73="Х",H$5,IF(L73="Х",J$5,IF(N73="Х",L$5,IF(P73="Х",N$5,IF(R73="Х",P$5,IF(T73="Х",R$5,IF(X73="Х",T$5,""))))))))</f>
        <v/>
      </c>
      <c r="AC73" s="138">
        <f>SUM(G73+I73+K73+M73+O73+Q73+S73+U73+Y73+AA73)</f>
        <v>0</v>
      </c>
      <c r="AD73" s="241" t="str">
        <f>AF73</f>
        <v>25-71</v>
      </c>
      <c r="AE73" s="140" t="str">
        <f>AD73</f>
        <v>25-71</v>
      </c>
      <c r="AF73" s="141" t="str">
        <f>COUNTIF(AG$6:AG$148,"&gt;"&amp;AG$6:AG$148)+1&amp;REPT("-"&amp;COUNTIF(AG$6:AG$148,"&gt;="&amp;AG$6:AG$148),COUNTIF(AG$6:AG$148,AG73)&gt;1)</f>
        <v>25-71</v>
      </c>
      <c r="AG73" s="142">
        <f>(AR73*100)+(AP73*10)-AC73</f>
        <v>80</v>
      </c>
      <c r="AH73" s="143" t="str">
        <f>IF(OR(F73="Х",F73="св")," ",IF(AND(G73&gt;=0,G73&lt;3),"1"," "))</f>
        <v>1</v>
      </c>
      <c r="AI73" s="90" t="str">
        <f>IF(OR(H73="Х",H73="св")," ",IF(AND(I73&gt;=0,I73&lt;3),"1"," "))</f>
        <v>1</v>
      </c>
      <c r="AJ73" s="90" t="str">
        <f>IF(OR(J73="Х",J73="св")," ",IF(AND(K73&gt;=0,K73&lt;3),"1"," "))</f>
        <v>1</v>
      </c>
      <c r="AK73" s="90" t="str">
        <f>IF(OR(L73="Х",L73="св")," ",IF(AND(M73&gt;=0,M73&lt;3),"1"," "))</f>
        <v>1</v>
      </c>
      <c r="AL73" s="90" t="str">
        <f>IF(OR(N73="Х",N73="св")," ",IF(AND(O73&gt;=0,O73&lt;3),"1"," "))</f>
        <v>1</v>
      </c>
      <c r="AM73" s="90" t="str">
        <f>IF(OR(P73="Х",P73="св")," ",IF(AND(Q73&gt;=0,Q73&lt;3),"1"," "))</f>
        <v>1</v>
      </c>
      <c r="AN73" s="90" t="str">
        <f>IF(OR(R73="Х",R73="св")," ",IF(AND(S73&gt;=0,S73&lt;3),"1"," "))</f>
        <v>1</v>
      </c>
      <c r="AO73" s="90" t="str">
        <f>IF(OR(T73="Х",T73="св")," ",IF(AND(U73&gt;=0,U73&lt;3),"1"," "))</f>
        <v>1</v>
      </c>
      <c r="AP73" s="90">
        <f>COUNTIF(AH73:AO74,1)</f>
        <v>8</v>
      </c>
      <c r="AQ73" s="90">
        <f>AG73-AC73</f>
        <v>80</v>
      </c>
      <c r="AR73" s="144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90" t="str">
        <f>COUNTIF(AG$6:AG$134,"&gt;"&amp;AG$6:AG$134)+1&amp;REPT("-"&amp;COUNTIF(AG$6:AG$134,"&gt;="&amp;AG$6:AG$134),COUNTIF(AG$6:AG$134,AG73)&gt;1)</f>
        <v>25-64</v>
      </c>
      <c r="AT73" s="143" t="str">
        <f t="shared" ref="AT73:AW73" si="39">COUNTIF(AU$6:AU$134,"&gt;"&amp;AU$6:AU$134)+1&amp;REPT("-"&amp;COUNTIF(AU$6:AU$134,"&gt;="&amp;AU$6:AU$134),COUNTIF(AU$6:AU$134,AU73)&gt;1)</f>
        <v>1-64</v>
      </c>
      <c r="AU73" s="143" t="str">
        <f t="shared" si="39"/>
        <v>1-0</v>
      </c>
      <c r="AV73" s="143" t="str">
        <f t="shared" si="39"/>
        <v>1</v>
      </c>
      <c r="AW73" s="143" t="str">
        <f t="shared" si="39"/>
        <v>31</v>
      </c>
      <c r="AX73" s="145">
        <f>IF(X73="Х","Х",IF(Y73&lt;3,B73,"Х"))</f>
        <v>34</v>
      </c>
      <c r="AY73" s="146" t="s">
        <v>195</v>
      </c>
      <c r="AZ73" s="146"/>
      <c r="BA73" s="146" t="s">
        <v>195</v>
      </c>
      <c r="BB73" s="146"/>
      <c r="BC73" s="49" t="s">
        <v>195</v>
      </c>
      <c r="BD73" s="225"/>
      <c r="BE73" s="49" t="s">
        <v>195</v>
      </c>
      <c r="BF73" s="224"/>
      <c r="BG73" s="49" t="s">
        <v>195</v>
      </c>
      <c r="BH73" s="49" t="s">
        <v>195</v>
      </c>
      <c r="BI73" s="49"/>
      <c r="BJ73" s="49"/>
      <c r="BK73" s="49"/>
      <c r="BL73" s="49"/>
      <c r="BM73" s="195">
        <v>34.0</v>
      </c>
      <c r="BN73" s="196"/>
      <c r="BO73" s="153" t="str">
        <f>IF(BM73&lt;BN73,BM73,"")</f>
        <v/>
      </c>
      <c r="BP73" s="196" t="s">
        <v>195</v>
      </c>
      <c r="BQ73" s="197"/>
      <c r="BR73" s="198" t="s">
        <v>195</v>
      </c>
      <c r="BS73" s="196"/>
      <c r="BT73" s="175" t="str">
        <f>IF(BR73&lt;BS73,BR73,"")</f>
        <v/>
      </c>
      <c r="BU73" s="196" t="s">
        <v>195</v>
      </c>
      <c r="BV73" s="196"/>
      <c r="BW73" s="199">
        <v>34.0</v>
      </c>
      <c r="BX73" s="74" t="s">
        <v>194</v>
      </c>
      <c r="BY73" s="160">
        <f t="array" ref="BY73">IF(BW73&lt;BX73,BW73,"")</f>
        <v>34</v>
      </c>
      <c r="BZ73" s="160">
        <f t="shared" si="17"/>
        <v>34</v>
      </c>
      <c r="CA73" s="74">
        <f>IFERROR(__xludf.DUMMYFUNCTION("""COMPUTED_VALUE"""),68.0)</f>
        <v>68</v>
      </c>
      <c r="CB73" s="74">
        <f t="shared" si="18"/>
        <v>68</v>
      </c>
      <c r="CC73" s="200"/>
      <c r="CD73" s="243"/>
      <c r="CE73" s="200">
        <v>34.0</v>
      </c>
      <c r="CF73" s="25" t="s">
        <v>194</v>
      </c>
      <c r="CG73" s="153">
        <f t="array" ref="CG73">IF(CE73&lt;CF73,CE73,"")</f>
        <v>34</v>
      </c>
      <c r="CH73" s="74">
        <v>34.0</v>
      </c>
      <c r="CI73" s="182">
        <f>IFERROR(__xludf.DUMMYFUNCTION("""COMPUTED_VALUE"""),68.0)</f>
        <v>68</v>
      </c>
      <c r="CJ73" s="93">
        <v>34.0</v>
      </c>
      <c r="CK73" s="233" t="s">
        <v>194</v>
      </c>
      <c r="CL73" s="153">
        <f t="array" ref="CL73">IF(CJ73&lt;CK73,CJ73,"")</f>
        <v>34</v>
      </c>
      <c r="CM73" s="49">
        <v>34.0</v>
      </c>
      <c r="CN73" s="49">
        <f>IFERROR(__xludf.DUMMYFUNCTION("""COMPUTED_VALUE"""),68.0)</f>
        <v>68</v>
      </c>
      <c r="CO73" s="74">
        <v>34.0</v>
      </c>
      <c r="CP73" s="200" t="s">
        <v>194</v>
      </c>
      <c r="CQ73" s="153">
        <f t="array" ref="CQ73">IF(CO73&lt;CP73,CO73,"")</f>
        <v>34</v>
      </c>
      <c r="CR73" s="93">
        <v>34.0</v>
      </c>
      <c r="CS73" s="234">
        <f>IFERROR(__xludf.DUMMYFUNCTION("""COMPUTED_VALUE"""),68.0)</f>
        <v>68</v>
      </c>
      <c r="CT73" s="200">
        <v>34.0</v>
      </c>
      <c r="CU73" s="74" t="s">
        <v>194</v>
      </c>
      <c r="CV73" s="153">
        <f t="array" ref="CV73">IF(CT73&lt;CU73,CT73,"")</f>
        <v>34</v>
      </c>
      <c r="CW73" s="49">
        <v>34.0</v>
      </c>
      <c r="CX73" s="49">
        <f>IFERROR(__xludf.DUMMYFUNCTION("""COMPUTED_VALUE"""),68.0)</f>
        <v>68</v>
      </c>
      <c r="CY73" s="49">
        <v>34.0</v>
      </c>
      <c r="CZ73" s="49" t="s">
        <v>194</v>
      </c>
      <c r="DA73" s="153">
        <f t="array" ref="DA73">IF(CY73&lt;CZ73,CY73,"")</f>
        <v>34</v>
      </c>
      <c r="DB73" s="49">
        <v>34.0</v>
      </c>
      <c r="DC73" s="49">
        <f>IFERROR(__xludf.DUMMYFUNCTION("""COMPUTED_VALUE"""),68.0)</f>
        <v>68</v>
      </c>
      <c r="DD73" s="49">
        <v>34.0</v>
      </c>
      <c r="DE73" s="49"/>
      <c r="DF73" s="49"/>
      <c r="DG73" s="49"/>
      <c r="DH73" s="49"/>
    </row>
    <row r="74" ht="13.5" hidden="1" customHeight="1">
      <c r="A74" s="54"/>
      <c r="B74" s="165"/>
      <c r="C74" s="165"/>
      <c r="D74" s="165"/>
      <c r="E74" s="165"/>
      <c r="F74" s="166"/>
      <c r="G74" s="167"/>
      <c r="H74" s="168"/>
      <c r="I74" s="167"/>
      <c r="J74" s="168"/>
      <c r="K74" s="167"/>
      <c r="L74" s="168"/>
      <c r="M74" s="167"/>
      <c r="N74" s="168"/>
      <c r="O74" s="167"/>
      <c r="P74" s="168"/>
      <c r="Q74" s="167"/>
      <c r="R74" s="168"/>
      <c r="S74" s="167"/>
      <c r="T74" s="168"/>
      <c r="U74" s="169"/>
      <c r="V74" s="168"/>
      <c r="W74" s="169"/>
      <c r="X74" s="168"/>
      <c r="Y74" s="167"/>
      <c r="Z74" s="168"/>
      <c r="AA74" s="167"/>
      <c r="AB74" s="166"/>
      <c r="AC74" s="165"/>
      <c r="AD74" s="168"/>
      <c r="AE74" s="170"/>
      <c r="AF74" s="171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Y74" s="146" t="s">
        <v>195</v>
      </c>
      <c r="AZ74" s="146"/>
      <c r="BA74" s="146" t="s">
        <v>195</v>
      </c>
      <c r="BB74" s="146"/>
      <c r="BC74" s="49" t="s">
        <v>195</v>
      </c>
      <c r="BD74" s="225"/>
      <c r="BE74" s="49" t="s">
        <v>195</v>
      </c>
      <c r="BF74" s="224"/>
      <c r="BG74" s="49" t="s">
        <v>195</v>
      </c>
      <c r="BH74" s="49" t="s">
        <v>195</v>
      </c>
      <c r="BI74" s="49"/>
      <c r="BJ74" s="49"/>
      <c r="BK74" s="49"/>
      <c r="BL74" s="49"/>
      <c r="BM74" s="178"/>
      <c r="BO74" s="175" t="str">
        <f>IF(BO73="","",BN73)</f>
        <v/>
      </c>
      <c r="BP74" s="175" t="s">
        <v>195</v>
      </c>
      <c r="BQ74" s="197"/>
      <c r="BT74" s="175" t="str">
        <f>IF(BT73="","",BS73)</f>
        <v/>
      </c>
      <c r="BU74" s="175" t="s">
        <v>195</v>
      </c>
      <c r="BV74" s="196"/>
      <c r="BW74" s="178"/>
      <c r="BY74" s="160" t="str">
        <f>IF(BY73="","",BX73)</f>
        <v> </v>
      </c>
      <c r="BZ74" s="160" t="str">
        <f t="shared" si="17"/>
        <v> </v>
      </c>
      <c r="CA74" s="200">
        <f>IFERROR(__xludf.DUMMYFUNCTION("""COMPUTED_VALUE"""),69.0)</f>
        <v>69</v>
      </c>
      <c r="CB74" s="74">
        <f t="shared" si="18"/>
        <v>69</v>
      </c>
      <c r="CC74" s="200"/>
      <c r="CD74" s="243"/>
      <c r="CG74" s="180" t="str">
        <f>IF(CG73="","",CF73)</f>
        <v> </v>
      </c>
      <c r="CH74" s="200" t="s">
        <v>194</v>
      </c>
      <c r="CI74" s="182">
        <f>IFERROR(__xludf.DUMMYFUNCTION("""COMPUTED_VALUE"""),69.0)</f>
        <v>69</v>
      </c>
      <c r="CJ74" s="49" t="s">
        <v>195</v>
      </c>
      <c r="CK74" s="235"/>
      <c r="CL74" s="180" t="str">
        <f>IF(CL73="","",CK73)</f>
        <v> </v>
      </c>
      <c r="CM74" s="49" t="s">
        <v>194</v>
      </c>
      <c r="CN74" s="49">
        <f>IFERROR(__xludf.DUMMYFUNCTION("""COMPUTED_VALUE"""),69.0)</f>
        <v>69</v>
      </c>
      <c r="CQ74" s="180" t="str">
        <f>IF(CQ73="","",CP73)</f>
        <v> </v>
      </c>
      <c r="CR74" s="49" t="s">
        <v>194</v>
      </c>
      <c r="CS74" s="234">
        <f>IFERROR(__xludf.DUMMYFUNCTION("""COMPUTED_VALUE"""),69.0)</f>
        <v>69</v>
      </c>
      <c r="CV74" s="180" t="str">
        <f>IF(CV73="","",CU73)</f>
        <v> </v>
      </c>
      <c r="CW74" s="49" t="s">
        <v>194</v>
      </c>
      <c r="CX74" s="49">
        <f>IFERROR(__xludf.DUMMYFUNCTION("""COMPUTED_VALUE"""),69.0)</f>
        <v>69</v>
      </c>
      <c r="CY74" s="49" t="s">
        <v>195</v>
      </c>
      <c r="CZ74" s="49"/>
      <c r="DA74" s="180" t="str">
        <f>IF(DA73="","",CZ73)</f>
        <v> </v>
      </c>
      <c r="DB74" s="49" t="s">
        <v>194</v>
      </c>
      <c r="DC74" s="49">
        <f>IFERROR(__xludf.DUMMYFUNCTION("""COMPUTED_VALUE"""),69.0)</f>
        <v>69</v>
      </c>
      <c r="DD74" s="49" t="s">
        <v>195</v>
      </c>
      <c r="DE74" s="49"/>
      <c r="DF74" s="49"/>
      <c r="DG74" s="49"/>
      <c r="DH74" s="49"/>
    </row>
    <row r="75" ht="13.5" hidden="1" customHeight="1">
      <c r="A75" s="54"/>
      <c r="B75" s="187">
        <v>35.0</v>
      </c>
      <c r="C75" s="188" t="str">
        <f>(VLOOKUP($B75,'Пр.взв'!$D$6:$J$63,2,0))</f>
        <v>#N/A</v>
      </c>
      <c r="D75" s="189" t="str">
        <f>(VLOOKUP($B75,'Пр.взв'!$D$6:$J$63,5,0))</f>
        <v>#N/A</v>
      </c>
      <c r="E75" s="190" t="str">
        <f>(VLOOKUP($B75,'Пр.взв'!$D$6:$M$63,8,0))</f>
        <v>#N/A</v>
      </c>
      <c r="F75" s="130"/>
      <c r="G75" s="255"/>
      <c r="H75" s="132"/>
      <c r="I75" s="255"/>
      <c r="J75" s="133" t="str">
        <f>IF(H75="Х","Х",IF($AC75&lt;6," ","Х"))</f>
        <v> </v>
      </c>
      <c r="K75" s="134"/>
      <c r="L75" s="133" t="str">
        <f>IF(J75="Х","Х",IF(K75&lt;3," ",IF($AC75&lt;6," ","Х")))</f>
        <v> </v>
      </c>
      <c r="M75" s="134"/>
      <c r="N75" s="133" t="str">
        <f>IF(L75="Х","Х",IF(M75&lt;3," ",IF($AC75&lt;6," ","Х")))</f>
        <v> </v>
      </c>
      <c r="O75" s="134"/>
      <c r="P75" s="133" t="str">
        <f>IF(N75="Х","Х",IF(O75&lt;3," ",IF($AC75&lt;6," ","Х")))</f>
        <v> </v>
      </c>
      <c r="Q75" s="134"/>
      <c r="R75" s="133" t="str">
        <f>IF(P75="Х","Х",IF(Q75&lt;3," ",IF($AC75&lt;6," ","Х")))</f>
        <v> </v>
      </c>
      <c r="S75" s="134"/>
      <c r="T75" s="133" t="str">
        <f>IF(R75="Х","Х",IF(S75&lt;3," ",IF($AC75&lt;6," ","Х")))</f>
        <v> </v>
      </c>
      <c r="U75" s="135"/>
      <c r="V75" s="133" t="str">
        <f>IF(T75="Х","Х",IF(U75&lt;3," ",IF($AC75&lt;6," ","Х")))</f>
        <v> </v>
      </c>
      <c r="W75" s="135"/>
      <c r="X75" s="133" t="str">
        <f>IF(V75="А1",$AZ$7,IF(V75="Б2",$AZ$6,IF(V75="Б1",$BA$7,IF(V75="А2",$BA$6,IF(V75="Х","Х",IF(V75&lt;6," "," "))))))</f>
        <v> </v>
      </c>
      <c r="Y75" s="136"/>
      <c r="Z75" s="133" t="str">
        <f>IF(V75="Х","Х",IF(ISBLANK(Y75),"",IF(Y75&gt;2.5," ",IF(B75=BB$6,BB$7,BB$6))))</f>
        <v/>
      </c>
      <c r="AA75" s="136"/>
      <c r="AB75" s="240" t="str">
        <f>IF(H75="Х",F$5,IF(J75="Х",H$5,IF(L75="Х",J$5,IF(N75="Х",L$5,IF(P75="Х",N$5,IF(R75="Х",P$5,IF(T75="Х",R$5,IF(X75="Х",T$5,""))))))))</f>
        <v/>
      </c>
      <c r="AC75" s="138">
        <f>SUM(G75+I75+K75+M75+O75+Q75+S75+U75+Y75+AA75)</f>
        <v>0</v>
      </c>
      <c r="AD75" s="241" t="str">
        <f>AF75</f>
        <v>25-71</v>
      </c>
      <c r="AE75" s="140" t="str">
        <f>AD75</f>
        <v>25-71</v>
      </c>
      <c r="AF75" s="141" t="str">
        <f>COUNTIF(AG$6:AG$148,"&gt;"&amp;AG$6:AG$148)+1&amp;REPT("-"&amp;COUNTIF(AG$6:AG$148,"&gt;="&amp;AG$6:AG$148),COUNTIF(AG$6:AG$148,AG75)&gt;1)</f>
        <v>25-71</v>
      </c>
      <c r="AG75" s="142">
        <f>(AR75*100)+(AP75*10)-AC75</f>
        <v>80</v>
      </c>
      <c r="AH75" s="143" t="str">
        <f>IF(OR(F75="Х",F75="св")," ",IF(AND(G75&gt;=0,G75&lt;3),"1"," "))</f>
        <v>1</v>
      </c>
      <c r="AI75" s="90" t="str">
        <f>IF(OR(H75="Х",H75="св")," ",IF(AND(I75&gt;=0,I75&lt;3),"1"," "))</f>
        <v>1</v>
      </c>
      <c r="AJ75" s="90" t="str">
        <f>IF(OR(J75="Х",J75="св")," ",IF(AND(K75&gt;=0,K75&lt;3),"1"," "))</f>
        <v>1</v>
      </c>
      <c r="AK75" s="90" t="str">
        <f>IF(OR(L75="Х",L75="св")," ",IF(AND(M75&gt;=0,M75&lt;3),"1"," "))</f>
        <v>1</v>
      </c>
      <c r="AL75" s="90" t="str">
        <f>IF(OR(N75="Х",N75="св")," ",IF(AND(O75&gt;=0,O75&lt;3),"1"," "))</f>
        <v>1</v>
      </c>
      <c r="AM75" s="90" t="str">
        <f>IF(OR(P75="Х",P75="св")," ",IF(AND(Q75&gt;=0,Q75&lt;3),"1"," "))</f>
        <v>1</v>
      </c>
      <c r="AN75" s="90" t="str">
        <f>IF(OR(R75="Х",R75="св")," ",IF(AND(S75&gt;=0,S75&lt;3),"1"," "))</f>
        <v>1</v>
      </c>
      <c r="AO75" s="90" t="str">
        <f>IF(OR(T75="Х",T75="св")," ",IF(AND(U75&gt;=0,U75&lt;3),"1"," "))</f>
        <v>1</v>
      </c>
      <c r="AP75" s="90">
        <f>COUNTIF(AH75:AO76,1)</f>
        <v>8</v>
      </c>
      <c r="AQ75" s="90">
        <f>AG75-AC75</f>
        <v>80</v>
      </c>
      <c r="AR75" s="144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90" t="str">
        <f>COUNTIF(AG$6:AG$134,"&gt;"&amp;AG$6:AG$134)+1&amp;REPT("-"&amp;COUNTIF(AG$6:AG$134,"&gt;="&amp;AG$6:AG$134),COUNTIF(AG$6:AG$134,AG75)&gt;1)</f>
        <v>25-64</v>
      </c>
      <c r="AT75" s="143" t="str">
        <f t="shared" ref="AT75:AW75" si="40">COUNTIF(AU$6:AU$134,"&gt;"&amp;AU$6:AU$134)+1&amp;REPT("-"&amp;COUNTIF(AU$6:AU$134,"&gt;="&amp;AU$6:AU$134),COUNTIF(AU$6:AU$134,AU75)&gt;1)</f>
        <v>1-64</v>
      </c>
      <c r="AU75" s="143" t="str">
        <f t="shared" si="40"/>
        <v>1-0</v>
      </c>
      <c r="AV75" s="143" t="str">
        <f t="shared" si="40"/>
        <v>1</v>
      </c>
      <c r="AW75" s="143" t="str">
        <f t="shared" si="40"/>
        <v>30</v>
      </c>
      <c r="AX75" s="145">
        <f>IF(X75="Х","Х",IF(Y75&lt;3,B75,"Х"))</f>
        <v>35</v>
      </c>
      <c r="AY75" s="146" t="s">
        <v>195</v>
      </c>
      <c r="AZ75" s="146"/>
      <c r="BA75" s="146" t="s">
        <v>195</v>
      </c>
      <c r="BB75" s="146"/>
      <c r="BC75" s="49" t="s">
        <v>195</v>
      </c>
      <c r="BD75" s="225"/>
      <c r="BE75" s="49" t="s">
        <v>195</v>
      </c>
      <c r="BF75" s="224"/>
      <c r="BG75" s="49" t="s">
        <v>195</v>
      </c>
      <c r="BH75" s="49" t="s">
        <v>195</v>
      </c>
      <c r="BI75" s="49"/>
      <c r="BJ75" s="49"/>
      <c r="BK75" s="49"/>
      <c r="BL75" s="49"/>
      <c r="BM75" s="195">
        <v>35.0</v>
      </c>
      <c r="BN75" s="196"/>
      <c r="BO75" s="153" t="str">
        <f>IF(BM75&lt;BN75,BM75,"")</f>
        <v/>
      </c>
      <c r="BP75" s="196" t="s">
        <v>195</v>
      </c>
      <c r="BQ75" s="197"/>
      <c r="BR75" s="198" t="s">
        <v>195</v>
      </c>
      <c r="BS75" s="196"/>
      <c r="BT75" s="175" t="str">
        <f>IF(BR75&lt;BS75,BR75,"")</f>
        <v/>
      </c>
      <c r="BU75" s="196" t="s">
        <v>195</v>
      </c>
      <c r="BV75" s="196"/>
      <c r="BW75" s="199">
        <v>35.0</v>
      </c>
      <c r="BX75" s="74" t="s">
        <v>194</v>
      </c>
      <c r="BY75" s="160">
        <f t="array" ref="BY75">IF(BW75&lt;BX75,BW75,"")</f>
        <v>35</v>
      </c>
      <c r="BZ75" s="160">
        <f t="shared" si="17"/>
        <v>35</v>
      </c>
      <c r="CA75" s="74">
        <f>IFERROR(__xludf.DUMMYFUNCTION("""COMPUTED_VALUE"""),70.0)</f>
        <v>70</v>
      </c>
      <c r="CB75" s="74">
        <f t="shared" si="18"/>
        <v>70</v>
      </c>
      <c r="CC75" s="200"/>
      <c r="CD75" s="243"/>
      <c r="CE75" s="200">
        <v>35.0</v>
      </c>
      <c r="CF75" s="25" t="s">
        <v>194</v>
      </c>
      <c r="CG75" s="153">
        <f t="array" ref="CG75">IF(CE75&lt;CF75,CE75,"")</f>
        <v>35</v>
      </c>
      <c r="CH75" s="74">
        <v>35.0</v>
      </c>
      <c r="CI75" s="182">
        <f>IFERROR(__xludf.DUMMYFUNCTION("""COMPUTED_VALUE"""),70.0)</f>
        <v>70</v>
      </c>
      <c r="CJ75" s="93">
        <v>35.0</v>
      </c>
      <c r="CK75" s="233" t="s">
        <v>194</v>
      </c>
      <c r="CL75" s="153">
        <f t="array" ref="CL75">IF(CJ75&lt;CK75,CJ75,"")</f>
        <v>35</v>
      </c>
      <c r="CM75" s="49">
        <v>35.0</v>
      </c>
      <c r="CN75" s="49">
        <f>IFERROR(__xludf.DUMMYFUNCTION("""COMPUTED_VALUE"""),70.0)</f>
        <v>70</v>
      </c>
      <c r="CO75" s="74">
        <v>35.0</v>
      </c>
      <c r="CP75" s="200" t="s">
        <v>194</v>
      </c>
      <c r="CQ75" s="153">
        <f t="array" ref="CQ75">IF(CO75&lt;CP75,CO75,"")</f>
        <v>35</v>
      </c>
      <c r="CR75" s="93">
        <v>35.0</v>
      </c>
      <c r="CS75" s="234">
        <f>IFERROR(__xludf.DUMMYFUNCTION("""COMPUTED_VALUE"""),70.0)</f>
        <v>70</v>
      </c>
      <c r="CT75" s="200">
        <v>35.0</v>
      </c>
      <c r="CU75" s="74" t="s">
        <v>194</v>
      </c>
      <c r="CV75" s="153">
        <f t="array" ref="CV75">IF(CT75&lt;CU75,CT75,"")</f>
        <v>35</v>
      </c>
      <c r="CW75" s="49">
        <v>35.0</v>
      </c>
      <c r="CX75" s="49">
        <f>IFERROR(__xludf.DUMMYFUNCTION("""COMPUTED_VALUE"""),70.0)</f>
        <v>70</v>
      </c>
      <c r="CY75" s="49">
        <v>35.0</v>
      </c>
      <c r="CZ75" s="49" t="s">
        <v>194</v>
      </c>
      <c r="DA75" s="153">
        <f t="array" ref="DA75">IF(CY75&lt;CZ75,CY75,"")</f>
        <v>35</v>
      </c>
      <c r="DB75" s="49">
        <v>35.0</v>
      </c>
      <c r="DC75" s="49">
        <f>IFERROR(__xludf.DUMMYFUNCTION("""COMPUTED_VALUE"""),70.0)</f>
        <v>70</v>
      </c>
      <c r="DD75" s="49">
        <v>35.0</v>
      </c>
      <c r="DE75" s="49"/>
      <c r="DF75" s="49"/>
      <c r="DG75" s="49"/>
      <c r="DH75" s="49"/>
    </row>
    <row r="76" ht="13.5" hidden="1" customHeight="1">
      <c r="A76" s="54"/>
      <c r="B76" s="165"/>
      <c r="C76" s="165"/>
      <c r="D76" s="165"/>
      <c r="E76" s="165"/>
      <c r="F76" s="166"/>
      <c r="G76" s="167"/>
      <c r="H76" s="168"/>
      <c r="I76" s="167"/>
      <c r="J76" s="168"/>
      <c r="K76" s="167"/>
      <c r="L76" s="168"/>
      <c r="M76" s="167"/>
      <c r="N76" s="168"/>
      <c r="O76" s="167"/>
      <c r="P76" s="168"/>
      <c r="Q76" s="167"/>
      <c r="R76" s="168"/>
      <c r="S76" s="167"/>
      <c r="T76" s="168"/>
      <c r="U76" s="169"/>
      <c r="V76" s="168"/>
      <c r="W76" s="169"/>
      <c r="X76" s="168"/>
      <c r="Y76" s="167"/>
      <c r="Z76" s="168"/>
      <c r="AA76" s="167"/>
      <c r="AB76" s="166"/>
      <c r="AC76" s="165"/>
      <c r="AD76" s="168"/>
      <c r="AE76" s="170"/>
      <c r="AF76" s="171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Y76" s="146" t="s">
        <v>195</v>
      </c>
      <c r="AZ76" s="146"/>
      <c r="BA76" s="146" t="s">
        <v>195</v>
      </c>
      <c r="BB76" s="146"/>
      <c r="BC76" s="49" t="s">
        <v>195</v>
      </c>
      <c r="BD76" s="225"/>
      <c r="BE76" s="49" t="s">
        <v>195</v>
      </c>
      <c r="BF76" s="224"/>
      <c r="BG76" s="49" t="s">
        <v>195</v>
      </c>
      <c r="BH76" s="49" t="s">
        <v>195</v>
      </c>
      <c r="BI76" s="49"/>
      <c r="BJ76" s="49"/>
      <c r="BK76" s="49"/>
      <c r="BL76" s="49"/>
      <c r="BM76" s="178"/>
      <c r="BO76" s="175" t="str">
        <f>IF(BO75="","",BN75)</f>
        <v/>
      </c>
      <c r="BP76" s="175" t="s">
        <v>195</v>
      </c>
      <c r="BQ76" s="197"/>
      <c r="BT76" s="175" t="str">
        <f>IF(BT75="","",BS75)</f>
        <v/>
      </c>
      <c r="BU76" s="175" t="s">
        <v>195</v>
      </c>
      <c r="BV76" s="196"/>
      <c r="BW76" s="178"/>
      <c r="BY76" s="160" t="str">
        <f>IF(BY75="","",BX75)</f>
        <v> </v>
      </c>
      <c r="BZ76" s="160" t="str">
        <f t="shared" si="17"/>
        <v> </v>
      </c>
      <c r="CA76" s="200">
        <f>IFERROR(__xludf.DUMMYFUNCTION("""COMPUTED_VALUE"""),71.0)</f>
        <v>71</v>
      </c>
      <c r="CB76" s="74">
        <f t="shared" si="18"/>
        <v>71</v>
      </c>
      <c r="CC76" s="200"/>
      <c r="CD76" s="243"/>
      <c r="CG76" s="180" t="str">
        <f>IF(CG75="","",CF75)</f>
        <v> </v>
      </c>
      <c r="CH76" s="200" t="s">
        <v>194</v>
      </c>
      <c r="CI76" s="182">
        <f>IFERROR(__xludf.DUMMYFUNCTION("""COMPUTED_VALUE"""),71.0)</f>
        <v>71</v>
      </c>
      <c r="CJ76" s="49" t="s">
        <v>195</v>
      </c>
      <c r="CK76" s="235"/>
      <c r="CL76" s="180" t="str">
        <f>IF(CL75="","",CK75)</f>
        <v> </v>
      </c>
      <c r="CM76" s="49" t="s">
        <v>194</v>
      </c>
      <c r="CN76" s="49">
        <f>IFERROR(__xludf.DUMMYFUNCTION("""COMPUTED_VALUE"""),71.0)</f>
        <v>71</v>
      </c>
      <c r="CQ76" s="180" t="str">
        <f>IF(CQ75="","",CP75)</f>
        <v> </v>
      </c>
      <c r="CR76" s="49" t="s">
        <v>194</v>
      </c>
      <c r="CS76" s="234">
        <f>IFERROR(__xludf.DUMMYFUNCTION("""COMPUTED_VALUE"""),71.0)</f>
        <v>71</v>
      </c>
      <c r="CV76" s="180" t="str">
        <f>IF(CV75="","",CU75)</f>
        <v> </v>
      </c>
      <c r="CW76" s="49" t="s">
        <v>194</v>
      </c>
      <c r="CX76" s="49">
        <f>IFERROR(__xludf.DUMMYFUNCTION("""COMPUTED_VALUE"""),71.0)</f>
        <v>71</v>
      </c>
      <c r="CY76" s="49" t="s">
        <v>195</v>
      </c>
      <c r="CZ76" s="49"/>
      <c r="DA76" s="180" t="str">
        <f>IF(DA75="","",CZ75)</f>
        <v> </v>
      </c>
      <c r="DB76" s="49" t="s">
        <v>194</v>
      </c>
      <c r="DC76" s="49">
        <f>IFERROR(__xludf.DUMMYFUNCTION("""COMPUTED_VALUE"""),71.0)</f>
        <v>71</v>
      </c>
      <c r="DD76" s="49" t="s">
        <v>195</v>
      </c>
      <c r="DE76" s="49"/>
      <c r="DF76" s="49"/>
      <c r="DG76" s="49"/>
      <c r="DH76" s="49"/>
    </row>
    <row r="77" ht="13.5" hidden="1" customHeight="1">
      <c r="A77" s="54"/>
      <c r="B77" s="187">
        <v>36.0</v>
      </c>
      <c r="C77" s="188" t="str">
        <f>(VLOOKUP($B77,'Пр.взв'!$D$6:$J$63,2,0))</f>
        <v>#N/A</v>
      </c>
      <c r="D77" s="189" t="str">
        <f>(VLOOKUP($B77,'Пр.взв'!$D$6:$J$63,5,0))</f>
        <v>#N/A</v>
      </c>
      <c r="E77" s="190" t="str">
        <f>(VLOOKUP($B77,'Пр.взв'!$D$6:$M$63,8,0))</f>
        <v>#N/A</v>
      </c>
      <c r="F77" s="130"/>
      <c r="G77" s="134"/>
      <c r="H77" s="132"/>
      <c r="I77" s="136"/>
      <c r="J77" s="133" t="str">
        <f>IF(H77="Х","Х",IF($AC77&lt;6," ","Х"))</f>
        <v> </v>
      </c>
      <c r="K77" s="134"/>
      <c r="L77" s="133" t="str">
        <f>IF(J77="Х","Х",IF(K77&lt;3," ",IF($AC77&lt;6," ","Х")))</f>
        <v> </v>
      </c>
      <c r="M77" s="134"/>
      <c r="N77" s="133" t="str">
        <f>IF(L77="Х","Х",IF(M77&lt;3," ",IF($AC77&lt;6," ","Х")))</f>
        <v> </v>
      </c>
      <c r="O77" s="134"/>
      <c r="P77" s="133" t="str">
        <f>IF(N77="Х","Х",IF(O77&lt;3," ",IF($AC77&lt;6," ","Х")))</f>
        <v> </v>
      </c>
      <c r="Q77" s="134"/>
      <c r="R77" s="133" t="str">
        <f>IF(P77="Х","Х",IF(Q77&lt;3," ",IF($AC77&lt;6," ","Х")))</f>
        <v> </v>
      </c>
      <c r="S77" s="134"/>
      <c r="T77" s="133" t="str">
        <f>IF(R77="Х","Х",IF(S77&lt;3," ",IF($AC77&lt;6," ","Х")))</f>
        <v> </v>
      </c>
      <c r="U77" s="135"/>
      <c r="V77" s="133" t="str">
        <f>IF(T77="Х","Х",IF(U77&lt;3," ",IF($AC77&lt;6," ","Х")))</f>
        <v> </v>
      </c>
      <c r="W77" s="135"/>
      <c r="X77" s="133" t="str">
        <f>IF(V77="А1",$AZ$7,IF(V77="Б2",$AZ$6,IF(V77="Б1",$BA$7,IF(V77="А2",$BA$6,IF(V77="Х","Х",IF(V77&lt;6," "," "))))))</f>
        <v> </v>
      </c>
      <c r="Y77" s="136"/>
      <c r="Z77" s="133" t="str">
        <f>IF(V77="Х","Х",IF(ISBLANK(Y77),"",IF(Y77&gt;2.5," ",IF(B77=BB$6,BB$7,BB$6))))</f>
        <v/>
      </c>
      <c r="AA77" s="136"/>
      <c r="AB77" s="240" t="str">
        <f>IF(H77="Х",F$5,IF(J77="Х",H$5,IF(L77="Х",J$5,IF(N77="Х",L$5,IF(P77="Х",N$5,IF(R77="Х",P$5,IF(T77="Х",R$5,IF(X77="Х",T$5,""))))))))</f>
        <v/>
      </c>
      <c r="AC77" s="138">
        <f>SUM(G77+I77+K77+M77+O77+Q77+S77+U77+Y77+AA77)</f>
        <v>0</v>
      </c>
      <c r="AD77" s="241" t="str">
        <f>AF77</f>
        <v>25-71</v>
      </c>
      <c r="AE77" s="140" t="str">
        <f>AD77</f>
        <v>25-71</v>
      </c>
      <c r="AF77" s="141" t="str">
        <f>COUNTIF(AG$6:AG$148,"&gt;"&amp;AG$6:AG$148)+1&amp;REPT("-"&amp;COUNTIF(AG$6:AG$148,"&gt;="&amp;AG$6:AG$148),COUNTIF(AG$6:AG$148,AG77)&gt;1)</f>
        <v>25-71</v>
      </c>
      <c r="AG77" s="142">
        <f>(AR77*100)+(AP77*10)-AC77</f>
        <v>80</v>
      </c>
      <c r="AH77" s="143" t="str">
        <f>IF(OR(F77="Х",F77="св")," ",IF(AND(G77&gt;=0,G77&lt;3),"1"," "))</f>
        <v>1</v>
      </c>
      <c r="AI77" s="90" t="str">
        <f>IF(OR(H77="Х",H77="св")," ",IF(AND(I77&gt;=0,I77&lt;3),"1"," "))</f>
        <v>1</v>
      </c>
      <c r="AJ77" s="90" t="str">
        <f>IF(OR(J77="Х",J77="св")," ",IF(AND(K77&gt;=0,K77&lt;3),"1"," "))</f>
        <v>1</v>
      </c>
      <c r="AK77" s="90" t="str">
        <f>IF(OR(L77="Х",L77="св")," ",IF(AND(M77&gt;=0,M77&lt;3),"1"," "))</f>
        <v>1</v>
      </c>
      <c r="AL77" s="90" t="str">
        <f>IF(OR(N77="Х",N77="св")," ",IF(AND(O77&gt;=0,O77&lt;3),"1"," "))</f>
        <v>1</v>
      </c>
      <c r="AM77" s="90" t="str">
        <f>IF(OR(P77="Х",P77="св")," ",IF(AND(Q77&gt;=0,Q77&lt;3),"1"," "))</f>
        <v>1</v>
      </c>
      <c r="AN77" s="90" t="str">
        <f>IF(OR(R77="Х",R77="св")," ",IF(AND(S77&gt;=0,S77&lt;3),"1"," "))</f>
        <v>1</v>
      </c>
      <c r="AO77" s="90" t="str">
        <f>IF(OR(T77="Х",T77="св")," ",IF(AND(U77&gt;=0,U77&lt;3),"1"," "))</f>
        <v>1</v>
      </c>
      <c r="AP77" s="90">
        <f>COUNTIF(AH77:AO78,1)</f>
        <v>8</v>
      </c>
      <c r="AQ77" s="90">
        <f>AG77-AC77</f>
        <v>80</v>
      </c>
      <c r="AR77" s="144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90" t="str">
        <f>COUNTIF(AG$6:AG$134,"&gt;"&amp;AG$6:AG$134)+1&amp;REPT("-"&amp;COUNTIF(AG$6:AG$134,"&gt;="&amp;AG$6:AG$134),COUNTIF(AG$6:AG$134,AG77)&gt;1)</f>
        <v>25-64</v>
      </c>
      <c r="AT77" s="143" t="str">
        <f t="shared" ref="AT77:AW77" si="41">COUNTIF(AU$6:AU$134,"&gt;"&amp;AU$6:AU$134)+1&amp;REPT("-"&amp;COUNTIF(AU$6:AU$134,"&gt;="&amp;AU$6:AU$134),COUNTIF(AU$6:AU$134,AU77)&gt;1)</f>
        <v>1-64</v>
      </c>
      <c r="AU77" s="143" t="str">
        <f t="shared" si="41"/>
        <v>1-0</v>
      </c>
      <c r="AV77" s="143" t="str">
        <f t="shared" si="41"/>
        <v>1</v>
      </c>
      <c r="AW77" s="143" t="str">
        <f t="shared" si="41"/>
        <v>29</v>
      </c>
      <c r="AX77" s="145">
        <f>IF(X77="Х","Х",IF(Y77&lt;3,B77,"Х"))</f>
        <v>36</v>
      </c>
      <c r="AY77" s="146" t="s">
        <v>195</v>
      </c>
      <c r="AZ77" s="146"/>
      <c r="BA77" s="146" t="s">
        <v>195</v>
      </c>
      <c r="BB77" s="146"/>
      <c r="BC77" s="49" t="s">
        <v>195</v>
      </c>
      <c r="BD77" s="225"/>
      <c r="BE77" s="49" t="s">
        <v>195</v>
      </c>
      <c r="BF77" s="224"/>
      <c r="BG77" s="49" t="s">
        <v>195</v>
      </c>
      <c r="BH77" s="49" t="s">
        <v>195</v>
      </c>
      <c r="BI77" s="49"/>
      <c r="BJ77" s="49"/>
      <c r="BK77" s="49"/>
      <c r="BL77" s="49"/>
      <c r="BM77" s="195">
        <v>36.0</v>
      </c>
      <c r="BN77" s="196"/>
      <c r="BO77" s="153" t="str">
        <f>IF(BM77&lt;BN77,BM77,"")</f>
        <v/>
      </c>
      <c r="BP77" s="196" t="s">
        <v>195</v>
      </c>
      <c r="BQ77" s="197"/>
      <c r="BR77" s="198" t="s">
        <v>195</v>
      </c>
      <c r="BS77" s="196"/>
      <c r="BT77" s="175" t="str">
        <f>IF(BR77&lt;BS77,BR77,"")</f>
        <v/>
      </c>
      <c r="BU77" s="196" t="s">
        <v>195</v>
      </c>
      <c r="BV77" s="196"/>
      <c r="BW77" s="199">
        <v>36.0</v>
      </c>
      <c r="BX77" s="74" t="s">
        <v>194</v>
      </c>
      <c r="BY77" s="160">
        <f t="array" ref="BY77">IF(BW77&lt;BX77,BW77,"")</f>
        <v>36</v>
      </c>
      <c r="BZ77" s="160">
        <f t="shared" si="17"/>
        <v>36</v>
      </c>
      <c r="CA77" s="74"/>
      <c r="CB77" s="74" t="str">
        <f t="shared" si="18"/>
        <v>св</v>
      </c>
      <c r="CC77" s="200"/>
      <c r="CD77" s="243"/>
      <c r="CE77" s="200">
        <v>36.0</v>
      </c>
      <c r="CF77" s="25" t="s">
        <v>194</v>
      </c>
      <c r="CG77" s="153">
        <f t="array" ref="CG77">IF(CE77&lt;CF77,CE77,"")</f>
        <v>36</v>
      </c>
      <c r="CH77" s="74">
        <v>36.0</v>
      </c>
      <c r="CI77" s="182"/>
      <c r="CJ77" s="93">
        <v>36.0</v>
      </c>
      <c r="CK77" s="233" t="s">
        <v>194</v>
      </c>
      <c r="CL77" s="153">
        <f t="array" ref="CL77">IF(CJ77&lt;CK77,CJ77,"")</f>
        <v>36</v>
      </c>
      <c r="CM77" s="49">
        <v>36.0</v>
      </c>
      <c r="CN77" s="49"/>
      <c r="CO77" s="74">
        <v>36.0</v>
      </c>
      <c r="CP77" s="200" t="s">
        <v>194</v>
      </c>
      <c r="CQ77" s="153">
        <f t="array" ref="CQ77">IF(CO77&lt;CP77,CO77,"")</f>
        <v>36</v>
      </c>
      <c r="CR77" s="93">
        <v>36.0</v>
      </c>
      <c r="CS77" s="234"/>
      <c r="CT77" s="200">
        <v>36.0</v>
      </c>
      <c r="CU77" s="74" t="s">
        <v>194</v>
      </c>
      <c r="CV77" s="153">
        <f t="array" ref="CV77">IF(CT77&lt;CU77,CT77,"")</f>
        <v>36</v>
      </c>
      <c r="CW77" s="49">
        <v>36.0</v>
      </c>
      <c r="CX77" s="49"/>
      <c r="CY77" s="49">
        <v>36.0</v>
      </c>
      <c r="CZ77" s="49" t="s">
        <v>194</v>
      </c>
      <c r="DA77" s="153">
        <f t="array" ref="DA77">IF(CY77&lt;CZ77,CY77,"")</f>
        <v>36</v>
      </c>
      <c r="DB77" s="49">
        <v>36.0</v>
      </c>
      <c r="DC77" s="49"/>
      <c r="DD77" s="49">
        <v>36.0</v>
      </c>
      <c r="DE77" s="49"/>
      <c r="DF77" s="49"/>
      <c r="DG77" s="49"/>
      <c r="DH77" s="49"/>
    </row>
    <row r="78" ht="13.5" hidden="1" customHeight="1">
      <c r="A78" s="54"/>
      <c r="B78" s="165"/>
      <c r="C78" s="165"/>
      <c r="D78" s="165"/>
      <c r="E78" s="165"/>
      <c r="F78" s="166"/>
      <c r="G78" s="167"/>
      <c r="H78" s="168"/>
      <c r="I78" s="167"/>
      <c r="J78" s="168"/>
      <c r="K78" s="167"/>
      <c r="L78" s="168"/>
      <c r="M78" s="167"/>
      <c r="N78" s="168"/>
      <c r="O78" s="167"/>
      <c r="P78" s="168"/>
      <c r="Q78" s="167"/>
      <c r="R78" s="168"/>
      <c r="S78" s="167"/>
      <c r="T78" s="168"/>
      <c r="U78" s="169"/>
      <c r="V78" s="168"/>
      <c r="W78" s="169"/>
      <c r="X78" s="168"/>
      <c r="Y78" s="167"/>
      <c r="Z78" s="168"/>
      <c r="AA78" s="167"/>
      <c r="AB78" s="166"/>
      <c r="AC78" s="165"/>
      <c r="AD78" s="168"/>
      <c r="AE78" s="170"/>
      <c r="AF78" s="171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Y78" s="146" t="s">
        <v>195</v>
      </c>
      <c r="AZ78" s="146"/>
      <c r="BA78" s="146" t="s">
        <v>195</v>
      </c>
      <c r="BB78" s="146"/>
      <c r="BC78" s="49" t="s">
        <v>195</v>
      </c>
      <c r="BD78" s="225"/>
      <c r="BE78" s="49" t="s">
        <v>195</v>
      </c>
      <c r="BF78" s="224"/>
      <c r="BG78" s="49" t="s">
        <v>195</v>
      </c>
      <c r="BH78" s="49" t="s">
        <v>195</v>
      </c>
      <c r="BI78" s="49"/>
      <c r="BJ78" s="49"/>
      <c r="BK78" s="49"/>
      <c r="BL78" s="49"/>
      <c r="BM78" s="178"/>
      <c r="BO78" s="175" t="str">
        <f>IF(BO77="","",BN77)</f>
        <v/>
      </c>
      <c r="BP78" s="175" t="s">
        <v>195</v>
      </c>
      <c r="BQ78" s="197"/>
      <c r="BT78" s="175" t="str">
        <f>IF(BT77="","",BS77)</f>
        <v/>
      </c>
      <c r="BU78" s="175" t="s">
        <v>195</v>
      </c>
      <c r="BV78" s="196"/>
      <c r="BW78" s="178"/>
      <c r="BY78" s="160" t="str">
        <f>IF(BY77="","",BX77)</f>
        <v> </v>
      </c>
      <c r="BZ78" s="160" t="str">
        <f t="shared" si="17"/>
        <v> </v>
      </c>
      <c r="CA78" s="200"/>
      <c r="CB78" s="74" t="str">
        <f t="shared" si="18"/>
        <v>св</v>
      </c>
      <c r="CC78" s="200"/>
      <c r="CD78" s="243"/>
      <c r="CG78" s="180" t="str">
        <f>IF(CG77="","",CF77)</f>
        <v> </v>
      </c>
      <c r="CH78" s="200" t="s">
        <v>194</v>
      </c>
      <c r="CI78" s="182"/>
      <c r="CJ78" s="49" t="s">
        <v>195</v>
      </c>
      <c r="CK78" s="235"/>
      <c r="CL78" s="180" t="str">
        <f>IF(CL77="","",CK77)</f>
        <v> </v>
      </c>
      <c r="CM78" s="49" t="s">
        <v>194</v>
      </c>
      <c r="CN78" s="49"/>
      <c r="CQ78" s="180" t="str">
        <f>IF(CQ77="","",CP77)</f>
        <v> </v>
      </c>
      <c r="CR78" s="49" t="s">
        <v>194</v>
      </c>
      <c r="CS78" s="234"/>
      <c r="CV78" s="180" t="str">
        <f>IF(CV77="","",CU77)</f>
        <v> </v>
      </c>
      <c r="CW78" s="49" t="s">
        <v>194</v>
      </c>
      <c r="CX78" s="49"/>
      <c r="CY78" s="49" t="s">
        <v>195</v>
      </c>
      <c r="CZ78" s="49"/>
      <c r="DA78" s="180" t="str">
        <f>IF(DA77="","",CZ77)</f>
        <v> </v>
      </c>
      <c r="DB78" s="49" t="s">
        <v>194</v>
      </c>
      <c r="DC78" s="49"/>
      <c r="DD78" s="49" t="s">
        <v>195</v>
      </c>
      <c r="DE78" s="49"/>
      <c r="DF78" s="49"/>
      <c r="DG78" s="49"/>
      <c r="DH78" s="49"/>
    </row>
    <row r="79" ht="13.5" hidden="1" customHeight="1">
      <c r="A79" s="54"/>
      <c r="B79" s="187">
        <v>37.0</v>
      </c>
      <c r="C79" s="188" t="str">
        <f>(VLOOKUP($B79,'Пр.взв'!$D$6:$J$63,2,0))</f>
        <v>#N/A</v>
      </c>
      <c r="D79" s="189" t="str">
        <f>(VLOOKUP($B79,'Пр.взв'!$D$6:$J$63,5,0))</f>
        <v>#N/A</v>
      </c>
      <c r="E79" s="190" t="str">
        <f>(VLOOKUP($B79,'Пр.взв'!$D$6:$M$63,8,0))</f>
        <v>#N/A</v>
      </c>
      <c r="F79" s="130"/>
      <c r="G79" s="255"/>
      <c r="H79" s="132"/>
      <c r="I79" s="255"/>
      <c r="J79" s="133" t="str">
        <f>IF(H79="Х","Х",IF($AC79&lt;6," ","Х"))</f>
        <v> </v>
      </c>
      <c r="K79" s="134"/>
      <c r="L79" s="133" t="str">
        <f>IF(J79="Х","Х",IF(K79&lt;3," ",IF($AC79&lt;6," ","Х")))</f>
        <v> </v>
      </c>
      <c r="M79" s="134"/>
      <c r="N79" s="133" t="str">
        <f>IF(L79="Х","Х",IF(M79&lt;3," ",IF($AC79&lt;6," ","Х")))</f>
        <v> </v>
      </c>
      <c r="O79" s="134"/>
      <c r="P79" s="133" t="str">
        <f>IF(N79="Х","Х",IF(O79&lt;3," ",IF($AC79&lt;6," ","Х")))</f>
        <v> </v>
      </c>
      <c r="Q79" s="134"/>
      <c r="R79" s="133" t="str">
        <f>IF(P79="Х","Х",IF(Q79&lt;3," ",IF($AC79&lt;6," ","Х")))</f>
        <v> </v>
      </c>
      <c r="S79" s="134"/>
      <c r="T79" s="133" t="str">
        <f>IF(R79="Х","Х",IF(S79&lt;3," ",IF($AC79&lt;6," ","Х")))</f>
        <v> </v>
      </c>
      <c r="U79" s="135"/>
      <c r="V79" s="133" t="str">
        <f>IF(T79="Х","Х",IF(U79&lt;3," ",IF($AC79&lt;6," ","Х")))</f>
        <v> </v>
      </c>
      <c r="W79" s="135"/>
      <c r="X79" s="133" t="str">
        <f>IF(V79="А1",$AZ$7,IF(V79="Б2",$AZ$6,IF(V79="Б1",$BA$7,IF(V79="А2",$BA$6,IF(V79="Х","Х",IF(V79&lt;6," "," "))))))</f>
        <v> </v>
      </c>
      <c r="Y79" s="136"/>
      <c r="Z79" s="133" t="str">
        <f>IF(V79="Х","Х",IF(ISBLANK(Y79),"",IF(Y79&gt;2.5," ",IF(B79=BB$6,BB$7,BB$6))))</f>
        <v/>
      </c>
      <c r="AA79" s="136"/>
      <c r="AB79" s="240" t="str">
        <f>IF(H79="Х",F$5,IF(J79="Х",H$5,IF(L79="Х",J$5,IF(N79="Х",L$5,IF(P79="Х",N$5,IF(R79="Х",P$5,IF(T79="Х",R$5,IF(X79="Х",T$5,""))))))))</f>
        <v/>
      </c>
      <c r="AC79" s="138">
        <f>SUM(G79+I79+K79+M79+O79+Q79+S79+U79+Y79+AA79)</f>
        <v>0</v>
      </c>
      <c r="AD79" s="241" t="str">
        <f>AF79</f>
        <v>25-71</v>
      </c>
      <c r="AE79" s="140" t="str">
        <f>AD79</f>
        <v>25-71</v>
      </c>
      <c r="AF79" s="141" t="str">
        <f>COUNTIF(AG$6:AG$148,"&gt;"&amp;AG$6:AG$148)+1&amp;REPT("-"&amp;COUNTIF(AG$6:AG$148,"&gt;="&amp;AG$6:AG$148),COUNTIF(AG$6:AG$148,AG79)&gt;1)</f>
        <v>25-71</v>
      </c>
      <c r="AG79" s="142">
        <f>(AR79*100)+(AP79*10)-AC79</f>
        <v>80</v>
      </c>
      <c r="AH79" s="143" t="str">
        <f>IF(OR(F79="Х",F79="св")," ",IF(AND(G79&gt;=0,G79&lt;3),"1"," "))</f>
        <v>1</v>
      </c>
      <c r="AI79" s="90" t="str">
        <f>IF(OR(H79="Х",H79="св")," ",IF(AND(I79&gt;=0,I79&lt;3),"1"," "))</f>
        <v>1</v>
      </c>
      <c r="AJ79" s="90" t="str">
        <f>IF(OR(J79="Х",J79="св")," ",IF(AND(K79&gt;=0,K79&lt;3),"1"," "))</f>
        <v>1</v>
      </c>
      <c r="AK79" s="90" t="str">
        <f>IF(OR(L79="Х",L79="св")," ",IF(AND(M79&gt;=0,M79&lt;3),"1"," "))</f>
        <v>1</v>
      </c>
      <c r="AL79" s="90" t="str">
        <f>IF(OR(N79="Х",N79="св")," ",IF(AND(O79&gt;=0,O79&lt;3),"1"," "))</f>
        <v>1</v>
      </c>
      <c r="AM79" s="90" t="str">
        <f>IF(OR(P79="Х",P79="св")," ",IF(AND(Q79&gt;=0,Q79&lt;3),"1"," "))</f>
        <v>1</v>
      </c>
      <c r="AN79" s="90" t="str">
        <f>IF(OR(R79="Х",R79="св")," ",IF(AND(S79&gt;=0,S79&lt;3),"1"," "))</f>
        <v>1</v>
      </c>
      <c r="AO79" s="90" t="str">
        <f>IF(OR(T79="Х",T79="св")," ",IF(AND(U79&gt;=0,U79&lt;3),"1"," "))</f>
        <v>1</v>
      </c>
      <c r="AP79" s="90">
        <f>COUNTIF(AH79:AO80,1)</f>
        <v>8</v>
      </c>
      <c r="AQ79" s="90">
        <f>AG79-AC79</f>
        <v>80</v>
      </c>
      <c r="AR79" s="144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90" t="str">
        <f>COUNTIF(AG$6:AG$134,"&gt;"&amp;AG$6:AG$134)+1&amp;REPT("-"&amp;COUNTIF(AG$6:AG$134,"&gt;="&amp;AG$6:AG$134),COUNTIF(AG$6:AG$134,AG79)&gt;1)</f>
        <v>25-64</v>
      </c>
      <c r="AT79" s="143" t="str">
        <f t="shared" ref="AT79:AW79" si="42">COUNTIF(AU$6:AU$134,"&gt;"&amp;AU$6:AU$134)+1&amp;REPT("-"&amp;COUNTIF(AU$6:AU$134,"&gt;="&amp;AU$6:AU$134),COUNTIF(AU$6:AU$134,AU79)&gt;1)</f>
        <v>1-64</v>
      </c>
      <c r="AU79" s="143" t="str">
        <f t="shared" si="42"/>
        <v>1-0</v>
      </c>
      <c r="AV79" s="143" t="str">
        <f t="shared" si="42"/>
        <v>1</v>
      </c>
      <c r="AW79" s="143" t="str">
        <f t="shared" si="42"/>
        <v>28</v>
      </c>
      <c r="AX79" s="145">
        <f>IF(X79="Х","Х",IF(Y79&lt;3,B79,"Х"))</f>
        <v>37</v>
      </c>
      <c r="AY79" s="146" t="s">
        <v>195</v>
      </c>
      <c r="AZ79" s="146"/>
      <c r="BA79" s="146" t="s">
        <v>195</v>
      </c>
      <c r="BB79" s="146"/>
      <c r="BC79" s="49" t="s">
        <v>195</v>
      </c>
      <c r="BD79" s="225"/>
      <c r="BE79" s="49" t="s">
        <v>195</v>
      </c>
      <c r="BF79" s="224"/>
      <c r="BG79" s="49" t="s">
        <v>195</v>
      </c>
      <c r="BH79" s="49" t="s">
        <v>195</v>
      </c>
      <c r="BI79" s="49"/>
      <c r="BJ79" s="49"/>
      <c r="BK79" s="49"/>
      <c r="BL79" s="49"/>
      <c r="BM79" s="195">
        <v>37.0</v>
      </c>
      <c r="BN79" s="196"/>
      <c r="BO79" s="153" t="str">
        <f>IF(BM79&lt;BN79,BM79,"")</f>
        <v/>
      </c>
      <c r="BP79" s="196" t="s">
        <v>195</v>
      </c>
      <c r="BQ79" s="197"/>
      <c r="BR79" s="198" t="s">
        <v>195</v>
      </c>
      <c r="BS79" s="196"/>
      <c r="BT79" s="175" t="str">
        <f>IF(BR79&lt;BS79,BR79,"")</f>
        <v/>
      </c>
      <c r="BU79" s="196" t="s">
        <v>195</v>
      </c>
      <c r="BV79" s="196"/>
      <c r="BW79" s="199">
        <v>37.0</v>
      </c>
      <c r="BX79" s="74" t="s">
        <v>194</v>
      </c>
      <c r="BY79" s="160">
        <f t="array" ref="BY79">IF(BW79&lt;BX79,BW79,"")</f>
        <v>37</v>
      </c>
      <c r="BZ79" s="160">
        <f t="shared" si="17"/>
        <v>37</v>
      </c>
      <c r="CA79" s="74"/>
      <c r="CB79" s="74" t="str">
        <f t="shared" si="18"/>
        <v>св</v>
      </c>
      <c r="CC79" s="200"/>
      <c r="CD79" s="243"/>
      <c r="CE79" s="200">
        <v>37.0</v>
      </c>
      <c r="CF79" s="25" t="s">
        <v>194</v>
      </c>
      <c r="CG79" s="153">
        <f t="array" ref="CG79">IF(CE79&lt;CF79,CE79,"")</f>
        <v>37</v>
      </c>
      <c r="CH79" s="74">
        <v>37.0</v>
      </c>
      <c r="CI79" s="182"/>
      <c r="CJ79" s="93">
        <v>37.0</v>
      </c>
      <c r="CK79" s="233" t="s">
        <v>194</v>
      </c>
      <c r="CL79" s="153">
        <f t="array" ref="CL79">IF(CJ79&lt;CK79,CJ79,"")</f>
        <v>37</v>
      </c>
      <c r="CM79" s="49">
        <v>37.0</v>
      </c>
      <c r="CN79" s="49"/>
      <c r="CO79" s="74">
        <v>37.0</v>
      </c>
      <c r="CP79" s="200" t="s">
        <v>194</v>
      </c>
      <c r="CQ79" s="153">
        <f t="array" ref="CQ79">IF(CO79&lt;CP79,CO79,"")</f>
        <v>37</v>
      </c>
      <c r="CR79" s="93">
        <v>37.0</v>
      </c>
      <c r="CS79" s="234"/>
      <c r="CT79" s="200">
        <v>37.0</v>
      </c>
      <c r="CU79" s="74" t="s">
        <v>194</v>
      </c>
      <c r="CV79" s="153">
        <f t="array" ref="CV79">IF(CT79&lt;CU79,CT79,"")</f>
        <v>37</v>
      </c>
      <c r="CW79" s="49">
        <v>37.0</v>
      </c>
      <c r="CX79" s="49"/>
      <c r="CY79" s="49">
        <v>37.0</v>
      </c>
      <c r="CZ79" s="49" t="s">
        <v>194</v>
      </c>
      <c r="DA79" s="153">
        <f t="array" ref="DA79">IF(CY79&lt;CZ79,CY79,"")</f>
        <v>37</v>
      </c>
      <c r="DB79" s="49">
        <v>37.0</v>
      </c>
      <c r="DC79" s="49"/>
      <c r="DD79" s="49">
        <v>37.0</v>
      </c>
      <c r="DE79" s="49"/>
      <c r="DF79" s="49"/>
      <c r="DG79" s="49"/>
      <c r="DH79" s="49"/>
    </row>
    <row r="80" ht="13.5" hidden="1" customHeight="1">
      <c r="A80" s="54"/>
      <c r="B80" s="165"/>
      <c r="C80" s="165"/>
      <c r="D80" s="165"/>
      <c r="E80" s="165"/>
      <c r="F80" s="166"/>
      <c r="G80" s="167"/>
      <c r="H80" s="168"/>
      <c r="I80" s="167"/>
      <c r="J80" s="168"/>
      <c r="K80" s="167"/>
      <c r="L80" s="168"/>
      <c r="M80" s="167"/>
      <c r="N80" s="168"/>
      <c r="O80" s="167"/>
      <c r="P80" s="168"/>
      <c r="Q80" s="167"/>
      <c r="R80" s="168"/>
      <c r="S80" s="167"/>
      <c r="T80" s="168"/>
      <c r="U80" s="169"/>
      <c r="V80" s="168"/>
      <c r="W80" s="169"/>
      <c r="X80" s="168"/>
      <c r="Y80" s="167"/>
      <c r="Z80" s="168"/>
      <c r="AA80" s="167"/>
      <c r="AB80" s="166"/>
      <c r="AC80" s="165"/>
      <c r="AD80" s="168"/>
      <c r="AE80" s="170"/>
      <c r="AF80" s="171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Y80" s="146" t="s">
        <v>195</v>
      </c>
      <c r="AZ80" s="146"/>
      <c r="BA80" s="146" t="s">
        <v>195</v>
      </c>
      <c r="BB80" s="146"/>
      <c r="BC80" s="49" t="s">
        <v>195</v>
      </c>
      <c r="BD80" s="225"/>
      <c r="BE80" s="49" t="s">
        <v>195</v>
      </c>
      <c r="BF80" s="224"/>
      <c r="BG80" s="49" t="s">
        <v>195</v>
      </c>
      <c r="BH80" s="49" t="s">
        <v>195</v>
      </c>
      <c r="BI80" s="49"/>
      <c r="BJ80" s="49"/>
      <c r="BK80" s="49"/>
      <c r="BL80" s="49"/>
      <c r="BM80" s="178"/>
      <c r="BO80" s="175" t="str">
        <f>IF(BO79="","",BN79)</f>
        <v/>
      </c>
      <c r="BP80" s="175" t="s">
        <v>195</v>
      </c>
      <c r="BQ80" s="197"/>
      <c r="BT80" s="175" t="str">
        <f>IF(BT79="","",BS79)</f>
        <v/>
      </c>
      <c r="BU80" s="175" t="s">
        <v>195</v>
      </c>
      <c r="BV80" s="196"/>
      <c r="BW80" s="178"/>
      <c r="BY80" s="160" t="str">
        <f>IF(BY79="","",BX79)</f>
        <v> </v>
      </c>
      <c r="BZ80" s="160" t="str">
        <f t="shared" si="17"/>
        <v> </v>
      </c>
      <c r="CA80" s="200"/>
      <c r="CB80" s="74" t="str">
        <f t="shared" si="18"/>
        <v>св</v>
      </c>
      <c r="CC80" s="200"/>
      <c r="CD80" s="243"/>
      <c r="CG80" s="180" t="str">
        <f>IF(CG79="","",CF79)</f>
        <v> </v>
      </c>
      <c r="CH80" s="200" t="s">
        <v>194</v>
      </c>
      <c r="CI80" s="182"/>
      <c r="CJ80" s="49" t="s">
        <v>195</v>
      </c>
      <c r="CK80" s="235"/>
      <c r="CL80" s="180" t="str">
        <f>IF(CL79="","",CK79)</f>
        <v> </v>
      </c>
      <c r="CM80" s="49" t="s">
        <v>194</v>
      </c>
      <c r="CN80" s="49"/>
      <c r="CQ80" s="180" t="str">
        <f>IF(CQ79="","",CP79)</f>
        <v> </v>
      </c>
      <c r="CR80" s="49" t="s">
        <v>194</v>
      </c>
      <c r="CS80" s="234"/>
      <c r="CV80" s="180" t="str">
        <f>IF(CV79="","",CU79)</f>
        <v> </v>
      </c>
      <c r="CW80" s="49" t="s">
        <v>194</v>
      </c>
      <c r="CX80" s="49"/>
      <c r="CY80" s="49" t="s">
        <v>195</v>
      </c>
      <c r="CZ80" s="49"/>
      <c r="DA80" s="180" t="str">
        <f>IF(DA79="","",CZ79)</f>
        <v> </v>
      </c>
      <c r="DB80" s="49" t="s">
        <v>194</v>
      </c>
      <c r="DC80" s="49"/>
      <c r="DD80" s="49" t="s">
        <v>195</v>
      </c>
      <c r="DE80" s="49"/>
      <c r="DF80" s="49"/>
      <c r="DG80" s="49"/>
      <c r="DH80" s="49"/>
    </row>
    <row r="81" ht="13.5" hidden="1" customHeight="1">
      <c r="A81" s="54"/>
      <c r="B81" s="187">
        <v>38.0</v>
      </c>
      <c r="C81" s="188" t="str">
        <f>(VLOOKUP($B81,'Пр.взв'!$D$6:$J$63,2,0))</f>
        <v>#N/A</v>
      </c>
      <c r="D81" s="189" t="str">
        <f>(VLOOKUP($B81,'Пр.взв'!$D$6:$J$63,5,0))</f>
        <v>#N/A</v>
      </c>
      <c r="E81" s="190" t="str">
        <f>(VLOOKUP($B81,'Пр.взв'!$D$6:$M$63,8,0))</f>
        <v>#N/A</v>
      </c>
      <c r="F81" s="130"/>
      <c r="G81" s="134"/>
      <c r="H81" s="132"/>
      <c r="I81" s="136"/>
      <c r="J81" s="133" t="str">
        <f>IF(H81="Х","Х",IF($AC81&lt;6," ","Х"))</f>
        <v> </v>
      </c>
      <c r="K81" s="134"/>
      <c r="L81" s="133" t="str">
        <f>IF(J81="Х","Х",IF(K81&lt;3," ",IF($AC81&lt;6," ","Х")))</f>
        <v> </v>
      </c>
      <c r="M81" s="134"/>
      <c r="N81" s="133" t="str">
        <f>IF(L81="Х","Х",IF(M81&lt;3," ",IF($AC81&lt;6," ","Х")))</f>
        <v> </v>
      </c>
      <c r="O81" s="134"/>
      <c r="P81" s="133" t="str">
        <f>IF(N81="Х","Х",IF(O81&lt;3," ",IF($AC81&lt;6," ","Х")))</f>
        <v> </v>
      </c>
      <c r="Q81" s="134"/>
      <c r="R81" s="133" t="str">
        <f>IF(P81="Х","Х",IF(Q81&lt;3," ",IF($AC81&lt;6," ","Х")))</f>
        <v> </v>
      </c>
      <c r="S81" s="134"/>
      <c r="T81" s="133" t="str">
        <f>IF(R81="Х","Х",IF(S81&lt;3," ",IF($AC81&lt;6," ","Х")))</f>
        <v> </v>
      </c>
      <c r="U81" s="135"/>
      <c r="V81" s="133" t="str">
        <f>IF(T81="Х","Х",IF(U81&lt;3," ",IF($AC81&lt;6," ","Х")))</f>
        <v> </v>
      </c>
      <c r="W81" s="135"/>
      <c r="X81" s="133" t="str">
        <f>IF(V81="А1",$AZ$7,IF(V81="Б2",$AZ$6,IF(V81="Б1",$BA$7,IF(V81="А2",$BA$6,IF(V81="Х","Х",IF(V81&lt;6," "," "))))))</f>
        <v> </v>
      </c>
      <c r="Y81" s="136"/>
      <c r="Z81" s="133" t="str">
        <f>IF(V81="Х","Х",IF(ISBLANK(Y81),"",IF(Y81&gt;2.5," ",IF(B81=BB$6,BB$7,BB$6))))</f>
        <v/>
      </c>
      <c r="AA81" s="136"/>
      <c r="AB81" s="240" t="str">
        <f>IF(H81="Х",F$5,IF(J81="Х",H$5,IF(L81="Х",J$5,IF(N81="Х",L$5,IF(P81="Х",N$5,IF(R81="Х",P$5,IF(T81="Х",R$5,IF(X81="Х",T$5,""))))))))</f>
        <v/>
      </c>
      <c r="AC81" s="138">
        <f>SUM(G81+I81+K81+M81+O81+Q81+S81+U81+Y81+AA81)</f>
        <v>0</v>
      </c>
      <c r="AD81" s="241" t="str">
        <f>AF81</f>
        <v>25-71</v>
      </c>
      <c r="AE81" s="140" t="str">
        <f>AD81</f>
        <v>25-71</v>
      </c>
      <c r="AF81" s="141" t="str">
        <f>COUNTIF(AG$6:AG$148,"&gt;"&amp;AG$6:AG$148)+1&amp;REPT("-"&amp;COUNTIF(AG$6:AG$148,"&gt;="&amp;AG$6:AG$148),COUNTIF(AG$6:AG$148,AG81)&gt;1)</f>
        <v>25-71</v>
      </c>
      <c r="AG81" s="142">
        <f>(AR81*100)+(AP81*10)-AC81</f>
        <v>80</v>
      </c>
      <c r="AH81" s="143" t="str">
        <f>IF(OR(F81="Х",F81="св")," ",IF(AND(G81&gt;=0,G81&lt;3),"1"," "))</f>
        <v>1</v>
      </c>
      <c r="AI81" s="90" t="str">
        <f>IF(OR(H81="Х",H81="св")," ",IF(AND(I81&gt;=0,I81&lt;3),"1"," "))</f>
        <v>1</v>
      </c>
      <c r="AJ81" s="90" t="str">
        <f>IF(OR(J81="Х",J81="св")," ",IF(AND(K81&gt;=0,K81&lt;3),"1"," "))</f>
        <v>1</v>
      </c>
      <c r="AK81" s="90" t="str">
        <f>IF(OR(L81="Х",L81="св")," ",IF(AND(M81&gt;=0,M81&lt;3),"1"," "))</f>
        <v>1</v>
      </c>
      <c r="AL81" s="90" t="str">
        <f>IF(OR(N81="Х",N81="св")," ",IF(AND(O81&gt;=0,O81&lt;3),"1"," "))</f>
        <v>1</v>
      </c>
      <c r="AM81" s="90" t="str">
        <f>IF(OR(P81="Х",P81="св")," ",IF(AND(Q81&gt;=0,Q81&lt;3),"1"," "))</f>
        <v>1</v>
      </c>
      <c r="AN81" s="90" t="str">
        <f>IF(OR(R81="Х",R81="св")," ",IF(AND(S81&gt;=0,S81&lt;3),"1"," "))</f>
        <v>1</v>
      </c>
      <c r="AO81" s="90" t="str">
        <f>IF(OR(T81="Х",T81="св")," ",IF(AND(U81&gt;=0,U81&lt;3),"1"," "))</f>
        <v>1</v>
      </c>
      <c r="AP81" s="90">
        <f>COUNTIF(AH81:AO82,1)</f>
        <v>8</v>
      </c>
      <c r="AQ81" s="90">
        <f>AG81-AC81</f>
        <v>80</v>
      </c>
      <c r="AR81" s="144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0" t="str">
        <f>COUNTIF(AG$6:AG$134,"&gt;"&amp;AG$6:AG$134)+1&amp;REPT("-"&amp;COUNTIF(AG$6:AG$134,"&gt;="&amp;AG$6:AG$134),COUNTIF(AG$6:AG$134,AG81)&gt;1)</f>
        <v>25-64</v>
      </c>
      <c r="AT81" s="143" t="str">
        <f t="shared" ref="AT81:AW81" si="43">COUNTIF(AU$6:AU$134,"&gt;"&amp;AU$6:AU$134)+1&amp;REPT("-"&amp;COUNTIF(AU$6:AU$134,"&gt;="&amp;AU$6:AU$134),COUNTIF(AU$6:AU$134,AU81)&gt;1)</f>
        <v>1-64</v>
      </c>
      <c r="AU81" s="143" t="str">
        <f t="shared" si="43"/>
        <v>1-0</v>
      </c>
      <c r="AV81" s="143" t="str">
        <f t="shared" si="43"/>
        <v>1</v>
      </c>
      <c r="AW81" s="143" t="str">
        <f t="shared" si="43"/>
        <v>27</v>
      </c>
      <c r="AX81" s="145">
        <f>IF(X81="Х","Х",IF(Y81&lt;3,B81,"Х"))</f>
        <v>38</v>
      </c>
      <c r="AY81" s="146" t="s">
        <v>195</v>
      </c>
      <c r="AZ81" s="146"/>
      <c r="BA81" s="146" t="s">
        <v>195</v>
      </c>
      <c r="BB81" s="146"/>
      <c r="BC81" s="49" t="s">
        <v>195</v>
      </c>
      <c r="BD81" s="225"/>
      <c r="BE81" s="49" t="s">
        <v>195</v>
      </c>
      <c r="BF81" s="224"/>
      <c r="BG81" s="49" t="s">
        <v>195</v>
      </c>
      <c r="BH81" s="49" t="s">
        <v>195</v>
      </c>
      <c r="BI81" s="49"/>
      <c r="BJ81" s="49"/>
      <c r="BK81" s="49"/>
      <c r="BL81" s="49"/>
      <c r="BM81" s="195">
        <v>38.0</v>
      </c>
      <c r="BN81" s="196"/>
      <c r="BO81" s="153" t="str">
        <f>IF(BM81&lt;BN81,BM81,"")</f>
        <v/>
      </c>
      <c r="BP81" s="196" t="s">
        <v>195</v>
      </c>
      <c r="BQ81" s="197"/>
      <c r="BR81" s="198" t="s">
        <v>195</v>
      </c>
      <c r="BS81" s="196"/>
      <c r="BT81" s="175" t="str">
        <f>IF(BR81&lt;BS81,BR81,"")</f>
        <v/>
      </c>
      <c r="BU81" s="196" t="s">
        <v>195</v>
      </c>
      <c r="BV81" s="196"/>
      <c r="BW81" s="199">
        <v>38.0</v>
      </c>
      <c r="BX81" s="74" t="s">
        <v>194</v>
      </c>
      <c r="BY81" s="160">
        <f t="array" ref="BY81">IF(BW81&lt;BX81,BW81,"")</f>
        <v>38</v>
      </c>
      <c r="BZ81" s="160">
        <f t="shared" si="17"/>
        <v>38</v>
      </c>
      <c r="CA81" s="74"/>
      <c r="CB81" s="74" t="str">
        <f t="shared" si="18"/>
        <v>св</v>
      </c>
      <c r="CC81" s="200"/>
      <c r="CD81" s="243"/>
      <c r="CE81" s="200">
        <v>38.0</v>
      </c>
      <c r="CF81" s="25" t="s">
        <v>194</v>
      </c>
      <c r="CG81" s="153">
        <f t="array" ref="CG81">IF(CE81&lt;CF81,CE81,"")</f>
        <v>38</v>
      </c>
      <c r="CH81" s="74">
        <v>38.0</v>
      </c>
      <c r="CI81" s="182"/>
      <c r="CJ81" s="93">
        <v>38.0</v>
      </c>
      <c r="CK81" s="233" t="s">
        <v>194</v>
      </c>
      <c r="CL81" s="153">
        <f t="array" ref="CL81">IF(CJ81&lt;CK81,CJ81,"")</f>
        <v>38</v>
      </c>
      <c r="CM81" s="49">
        <v>38.0</v>
      </c>
      <c r="CN81" s="49"/>
      <c r="CO81" s="74">
        <v>38.0</v>
      </c>
      <c r="CP81" s="200" t="s">
        <v>194</v>
      </c>
      <c r="CQ81" s="153">
        <f t="array" ref="CQ81">IF(CO81&lt;CP81,CO81,"")</f>
        <v>38</v>
      </c>
      <c r="CR81" s="93">
        <v>38.0</v>
      </c>
      <c r="CS81" s="234"/>
      <c r="CT81" s="200">
        <v>38.0</v>
      </c>
      <c r="CU81" s="74" t="s">
        <v>194</v>
      </c>
      <c r="CV81" s="153">
        <f t="array" ref="CV81">IF(CT81&lt;CU81,CT81,"")</f>
        <v>38</v>
      </c>
      <c r="CW81" s="49">
        <v>38.0</v>
      </c>
      <c r="CX81" s="49"/>
      <c r="CY81" s="49">
        <v>38.0</v>
      </c>
      <c r="CZ81" s="49" t="s">
        <v>194</v>
      </c>
      <c r="DA81" s="153">
        <f t="array" ref="DA81">IF(CY81&lt;CZ81,CY81,"")</f>
        <v>38</v>
      </c>
      <c r="DB81" s="49">
        <v>38.0</v>
      </c>
      <c r="DC81" s="49"/>
      <c r="DD81" s="49">
        <v>38.0</v>
      </c>
      <c r="DE81" s="49"/>
      <c r="DF81" s="49"/>
      <c r="DG81" s="49"/>
      <c r="DH81" s="49"/>
    </row>
    <row r="82" ht="13.5" hidden="1" customHeight="1">
      <c r="A82" s="54"/>
      <c r="B82" s="165"/>
      <c r="C82" s="165"/>
      <c r="D82" s="165"/>
      <c r="E82" s="165"/>
      <c r="F82" s="166"/>
      <c r="G82" s="167"/>
      <c r="H82" s="168"/>
      <c r="I82" s="167"/>
      <c r="J82" s="168"/>
      <c r="K82" s="167"/>
      <c r="L82" s="168"/>
      <c r="M82" s="167"/>
      <c r="N82" s="168"/>
      <c r="O82" s="167"/>
      <c r="P82" s="168"/>
      <c r="Q82" s="167"/>
      <c r="R82" s="168"/>
      <c r="S82" s="167"/>
      <c r="T82" s="168"/>
      <c r="U82" s="169"/>
      <c r="V82" s="168"/>
      <c r="W82" s="169"/>
      <c r="X82" s="168"/>
      <c r="Y82" s="167"/>
      <c r="Z82" s="168"/>
      <c r="AA82" s="167"/>
      <c r="AB82" s="166"/>
      <c r="AC82" s="165"/>
      <c r="AD82" s="168"/>
      <c r="AE82" s="170"/>
      <c r="AF82" s="171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Y82" s="146"/>
      <c r="AZ82" s="146"/>
      <c r="BA82" s="146"/>
      <c r="BB82" s="146"/>
      <c r="BC82" s="49"/>
      <c r="BD82" s="225"/>
      <c r="BE82" s="49"/>
      <c r="BF82" s="224"/>
      <c r="BG82" s="49"/>
      <c r="BH82" s="49"/>
      <c r="BI82" s="49"/>
      <c r="BJ82" s="49"/>
      <c r="BK82" s="49"/>
      <c r="BL82" s="49"/>
      <c r="BM82" s="178"/>
      <c r="BO82" s="175" t="str">
        <f>IF(BO81="","",BN81)</f>
        <v/>
      </c>
      <c r="BP82" s="175" t="s">
        <v>195</v>
      </c>
      <c r="BQ82" s="197"/>
      <c r="BT82" s="175" t="str">
        <f>IF(BT81="","",BS81)</f>
        <v/>
      </c>
      <c r="BU82" s="175" t="s">
        <v>195</v>
      </c>
      <c r="BV82" s="196"/>
      <c r="BW82" s="178"/>
      <c r="BY82" s="160" t="str">
        <f>IF(BY81="","",BX81)</f>
        <v> </v>
      </c>
      <c r="BZ82" s="160" t="str">
        <f t="shared" si="17"/>
        <v> </v>
      </c>
      <c r="CA82" s="200"/>
      <c r="CB82" s="74" t="str">
        <f t="shared" si="18"/>
        <v>св</v>
      </c>
      <c r="CC82" s="200"/>
      <c r="CD82" s="243"/>
      <c r="CG82" s="180" t="str">
        <f>IF(CG81="","",CF81)</f>
        <v> </v>
      </c>
      <c r="CH82" s="200" t="s">
        <v>194</v>
      </c>
      <c r="CI82" s="182"/>
      <c r="CJ82" s="49" t="s">
        <v>195</v>
      </c>
      <c r="CK82" s="235"/>
      <c r="CL82" s="180" t="str">
        <f>IF(CL81="","",CK81)</f>
        <v> </v>
      </c>
      <c r="CM82" s="49" t="s">
        <v>194</v>
      </c>
      <c r="CN82" s="49"/>
      <c r="CQ82" s="180" t="str">
        <f>IF(CQ81="","",CP81)</f>
        <v> </v>
      </c>
      <c r="CR82" s="49" t="s">
        <v>194</v>
      </c>
      <c r="CS82" s="234"/>
      <c r="CV82" s="180" t="str">
        <f>IF(CV81="","",CU81)</f>
        <v> </v>
      </c>
      <c r="CW82" s="49" t="s">
        <v>194</v>
      </c>
      <c r="CX82" s="49"/>
      <c r="CY82" s="49" t="s">
        <v>195</v>
      </c>
      <c r="CZ82" s="49"/>
      <c r="DA82" s="180" t="str">
        <f>IF(DA81="","",CZ81)</f>
        <v> </v>
      </c>
      <c r="DB82" s="49" t="s">
        <v>194</v>
      </c>
      <c r="DC82" s="49"/>
      <c r="DD82" s="49" t="s">
        <v>195</v>
      </c>
      <c r="DE82" s="49"/>
      <c r="DF82" s="49"/>
      <c r="DG82" s="49"/>
      <c r="DH82" s="49"/>
    </row>
    <row r="83" ht="13.5" hidden="1" customHeight="1">
      <c r="A83" s="54"/>
      <c r="B83" s="187">
        <v>39.0</v>
      </c>
      <c r="C83" s="188" t="str">
        <f>(VLOOKUP($B83,'Пр.взв'!$D$6:$J$63,2,0))</f>
        <v>#N/A</v>
      </c>
      <c r="D83" s="189" t="str">
        <f>(VLOOKUP($B83,'Пр.взв'!$D$6:$J$63,5,0))</f>
        <v>#N/A</v>
      </c>
      <c r="E83" s="190" t="str">
        <f>(VLOOKUP($B83,'Пр.взв'!$D$6:$M$63,8,0))</f>
        <v>#N/A</v>
      </c>
      <c r="F83" s="130"/>
      <c r="G83" s="255"/>
      <c r="H83" s="132"/>
      <c r="I83" s="255"/>
      <c r="J83" s="133" t="str">
        <f>IF(H83="Х","Х",IF($AC83&lt;6," ","Х"))</f>
        <v> </v>
      </c>
      <c r="K83" s="134"/>
      <c r="L83" s="133" t="str">
        <f>IF(J83="Х","Х",IF(K83&lt;3," ",IF($AC83&lt;6," ","Х")))</f>
        <v> </v>
      </c>
      <c r="M83" s="134"/>
      <c r="N83" s="133" t="str">
        <f>IF(L83="Х","Х",IF(M83&lt;3," ",IF($AC83&lt;6," ","Х")))</f>
        <v> </v>
      </c>
      <c r="O83" s="134"/>
      <c r="P83" s="133" t="str">
        <f>IF(N83="Х","Х",IF(O83&lt;3," ",IF($AC83&lt;6," ","Х")))</f>
        <v> </v>
      </c>
      <c r="Q83" s="134"/>
      <c r="R83" s="133" t="str">
        <f>IF(P83="Х","Х",IF(Q83&lt;3," ",IF($AC83&lt;6," ","Х")))</f>
        <v> </v>
      </c>
      <c r="S83" s="134"/>
      <c r="T83" s="133" t="str">
        <f>IF(R83="Х","Х",IF(S83&lt;3," ",IF($AC83&lt;6," ","Х")))</f>
        <v> </v>
      </c>
      <c r="U83" s="135"/>
      <c r="V83" s="133" t="str">
        <f>IF(T83="Х","Х",IF(U83&lt;3," ",IF($AC83&lt;6," ","Х")))</f>
        <v> </v>
      </c>
      <c r="W83" s="135"/>
      <c r="X83" s="133" t="str">
        <f>IF(V83="А1",$AZ$7,IF(V83="Б2",$AZ$6,IF(V83="Б1",$BA$7,IF(V83="А2",$BA$6,IF(V83="Х","Х",IF(V83&lt;6," "," "))))))</f>
        <v> </v>
      </c>
      <c r="Y83" s="136"/>
      <c r="Z83" s="133" t="str">
        <f>IF(V83="Х","Х",IF(ISBLANK(Y83),"",IF(Y83&gt;2.5," ",IF(B83=BB$6,BB$7,BB$6))))</f>
        <v/>
      </c>
      <c r="AA83" s="136"/>
      <c r="AB83" s="240" t="str">
        <f>IF(H83="Х",F$5,IF(J83="Х",H$5,IF(L83="Х",J$5,IF(N83="Х",L$5,IF(P83="Х",N$5,IF(R83="Х",P$5,IF(T83="Х",R$5,IF(X83="Х",T$5,""))))))))</f>
        <v/>
      </c>
      <c r="AC83" s="138">
        <f>SUM(G83+I83+K83+M83+O83+Q83+S83+U83+Y83+AA83)</f>
        <v>0</v>
      </c>
      <c r="AD83" s="241" t="str">
        <f>AF83</f>
        <v>25-71</v>
      </c>
      <c r="AE83" s="140" t="str">
        <f>AD83</f>
        <v>25-71</v>
      </c>
      <c r="AF83" s="141" t="str">
        <f>COUNTIF(AG$6:AG$148,"&gt;"&amp;AG$6:AG$148)+1&amp;REPT("-"&amp;COUNTIF(AG$6:AG$148,"&gt;="&amp;AG$6:AG$148),COUNTIF(AG$6:AG$148,AG83)&gt;1)</f>
        <v>25-71</v>
      </c>
      <c r="AG83" s="142">
        <f>(AR83*100)+(AP83*10)-AC83</f>
        <v>80</v>
      </c>
      <c r="AH83" s="143" t="str">
        <f>IF(OR(F83="Х",F83="св")," ",IF(AND(G83&gt;=0,G83&lt;3),"1"," "))</f>
        <v>1</v>
      </c>
      <c r="AI83" s="90" t="str">
        <f>IF(OR(H83="Х",H83="св")," ",IF(AND(I83&gt;=0,I83&lt;3),"1"," "))</f>
        <v>1</v>
      </c>
      <c r="AJ83" s="90" t="str">
        <f>IF(OR(J83="Х",J83="св")," ",IF(AND(K83&gt;=0,K83&lt;3),"1"," "))</f>
        <v>1</v>
      </c>
      <c r="AK83" s="90" t="str">
        <f>IF(OR(L83="Х",L83="св")," ",IF(AND(M83&gt;=0,M83&lt;3),"1"," "))</f>
        <v>1</v>
      </c>
      <c r="AL83" s="90" t="str">
        <f>IF(OR(N83="Х",N83="св")," ",IF(AND(O83&gt;=0,O83&lt;3),"1"," "))</f>
        <v>1</v>
      </c>
      <c r="AM83" s="90" t="str">
        <f>IF(OR(P83="Х",P83="св")," ",IF(AND(Q83&gt;=0,Q83&lt;3),"1"," "))</f>
        <v>1</v>
      </c>
      <c r="AN83" s="90" t="str">
        <f>IF(OR(R83="Х",R83="св")," ",IF(AND(S83&gt;=0,S83&lt;3),"1"," "))</f>
        <v>1</v>
      </c>
      <c r="AO83" s="90" t="str">
        <f>IF(OR(T83="Х",T83="св")," ",IF(AND(U83&gt;=0,U83&lt;3),"1"," "))</f>
        <v>1</v>
      </c>
      <c r="AP83" s="90">
        <f>COUNTIF(AH83:AO84,1)</f>
        <v>8</v>
      </c>
      <c r="AQ83" s="90">
        <f>AG83-AC83</f>
        <v>80</v>
      </c>
      <c r="AR83" s="144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0" t="str">
        <f>COUNTIF(AG$6:AG$134,"&gt;"&amp;AG$6:AG$134)+1&amp;REPT("-"&amp;COUNTIF(AG$6:AG$134,"&gt;="&amp;AG$6:AG$134),COUNTIF(AG$6:AG$134,AG83)&gt;1)</f>
        <v>25-64</v>
      </c>
      <c r="AT83" s="143" t="str">
        <f t="shared" ref="AT83:AW83" si="44">COUNTIF(AU$6:AU$134,"&gt;"&amp;AU$6:AU$134)+1&amp;REPT("-"&amp;COUNTIF(AU$6:AU$134,"&gt;="&amp;AU$6:AU$134),COUNTIF(AU$6:AU$134,AU83)&gt;1)</f>
        <v>1-64</v>
      </c>
      <c r="AU83" s="143" t="str">
        <f t="shared" si="44"/>
        <v>1-0</v>
      </c>
      <c r="AV83" s="143" t="str">
        <f t="shared" si="44"/>
        <v>1</v>
      </c>
      <c r="AW83" s="143" t="str">
        <f t="shared" si="44"/>
        <v>26</v>
      </c>
      <c r="AX83" s="145">
        <f>IF(X83="Х","Х",IF(Y83&lt;3,B83,"Х"))</f>
        <v>39</v>
      </c>
      <c r="AY83" s="146"/>
      <c r="AZ83" s="146"/>
      <c r="BA83" s="146"/>
      <c r="BB83" s="146"/>
      <c r="BC83" s="49"/>
      <c r="BD83" s="225"/>
      <c r="BE83" s="49"/>
      <c r="BF83" s="224"/>
      <c r="BG83" s="49"/>
      <c r="BH83" s="49"/>
      <c r="BI83" s="49"/>
      <c r="BJ83" s="49"/>
      <c r="BK83" s="49"/>
      <c r="BL83" s="49"/>
      <c r="BM83" s="195">
        <v>39.0</v>
      </c>
      <c r="BN83" s="196"/>
      <c r="BO83" s="153" t="str">
        <f>IF(BM83&lt;BN83,BM83,"")</f>
        <v/>
      </c>
      <c r="BP83" s="196" t="s">
        <v>195</v>
      </c>
      <c r="BQ83" s="197"/>
      <c r="BR83" s="198" t="s">
        <v>195</v>
      </c>
      <c r="BS83" s="196"/>
      <c r="BT83" s="175" t="str">
        <f>IF(BR83&lt;BS83,BR83,"")</f>
        <v/>
      </c>
      <c r="BU83" s="196" t="s">
        <v>195</v>
      </c>
      <c r="BV83" s="196"/>
      <c r="BW83" s="199">
        <v>39.0</v>
      </c>
      <c r="BX83" s="74" t="s">
        <v>194</v>
      </c>
      <c r="BY83" s="160">
        <f t="array" ref="BY83">IF(BW83&lt;BX83,BW83,"")</f>
        <v>39</v>
      </c>
      <c r="BZ83" s="160">
        <f t="shared" si="17"/>
        <v>39</v>
      </c>
      <c r="CA83" s="74"/>
      <c r="CB83" s="74" t="str">
        <f t="shared" si="18"/>
        <v>св</v>
      </c>
      <c r="CC83" s="200"/>
      <c r="CD83" s="243"/>
      <c r="CE83" s="200">
        <v>39.0</v>
      </c>
      <c r="CF83" s="25" t="s">
        <v>194</v>
      </c>
      <c r="CG83" s="153">
        <f t="array" ref="CG83">IF(CE83&lt;CF83,CE83,"")</f>
        <v>39</v>
      </c>
      <c r="CH83" s="74">
        <v>39.0</v>
      </c>
      <c r="CI83" s="182"/>
      <c r="CJ83" s="93">
        <v>39.0</v>
      </c>
      <c r="CK83" s="233" t="s">
        <v>194</v>
      </c>
      <c r="CL83" s="153">
        <f t="array" ref="CL83">IF(CJ83&lt;CK83,CJ83,"")</f>
        <v>39</v>
      </c>
      <c r="CM83" s="49">
        <v>39.0</v>
      </c>
      <c r="CN83" s="49"/>
      <c r="CO83" s="74">
        <v>39.0</v>
      </c>
      <c r="CP83" s="200" t="s">
        <v>194</v>
      </c>
      <c r="CQ83" s="153">
        <f t="array" ref="CQ83">IF(CO83&lt;CP83,CO83,"")</f>
        <v>39</v>
      </c>
      <c r="CR83" s="93">
        <v>39.0</v>
      </c>
      <c r="CS83" s="234"/>
      <c r="CT83" s="200">
        <v>39.0</v>
      </c>
      <c r="CU83" s="74" t="s">
        <v>194</v>
      </c>
      <c r="CV83" s="153">
        <f t="array" ref="CV83">IF(CT83&lt;CU83,CT83,"")</f>
        <v>39</v>
      </c>
      <c r="CW83" s="49">
        <v>39.0</v>
      </c>
      <c r="CX83" s="49"/>
      <c r="CY83" s="49">
        <v>39.0</v>
      </c>
      <c r="CZ83" s="49" t="s">
        <v>194</v>
      </c>
      <c r="DA83" s="153">
        <f t="array" ref="DA83">IF(CY83&lt;CZ83,CY83,"")</f>
        <v>39</v>
      </c>
      <c r="DB83" s="49">
        <v>39.0</v>
      </c>
      <c r="DC83" s="49"/>
      <c r="DD83" s="49">
        <v>39.0</v>
      </c>
      <c r="DE83" s="49"/>
      <c r="DF83" s="49"/>
      <c r="DG83" s="49"/>
      <c r="DH83" s="49"/>
    </row>
    <row r="84" ht="13.5" hidden="1" customHeight="1">
      <c r="A84" s="54"/>
      <c r="B84" s="165"/>
      <c r="C84" s="165"/>
      <c r="D84" s="165"/>
      <c r="E84" s="165"/>
      <c r="F84" s="166"/>
      <c r="G84" s="167"/>
      <c r="H84" s="168"/>
      <c r="I84" s="167"/>
      <c r="J84" s="168"/>
      <c r="K84" s="167"/>
      <c r="L84" s="168"/>
      <c r="M84" s="167"/>
      <c r="N84" s="168"/>
      <c r="O84" s="167"/>
      <c r="P84" s="168"/>
      <c r="Q84" s="167"/>
      <c r="R84" s="168"/>
      <c r="S84" s="167"/>
      <c r="T84" s="168"/>
      <c r="U84" s="169"/>
      <c r="V84" s="168"/>
      <c r="W84" s="169"/>
      <c r="X84" s="168"/>
      <c r="Y84" s="167"/>
      <c r="Z84" s="168"/>
      <c r="AA84" s="167"/>
      <c r="AB84" s="166"/>
      <c r="AC84" s="165"/>
      <c r="AD84" s="168"/>
      <c r="AE84" s="170"/>
      <c r="AF84" s="171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Y84" s="146"/>
      <c r="AZ84" s="146"/>
      <c r="BA84" s="146"/>
      <c r="BB84" s="146"/>
      <c r="BC84" s="49"/>
      <c r="BD84" s="225"/>
      <c r="BE84" s="49"/>
      <c r="BF84" s="224"/>
      <c r="BG84" s="49"/>
      <c r="BH84" s="49"/>
      <c r="BI84" s="49"/>
      <c r="BJ84" s="49"/>
      <c r="BK84" s="49"/>
      <c r="BL84" s="49"/>
      <c r="BM84" s="178"/>
      <c r="BO84" s="175" t="str">
        <f>IF(BO83="","",BN83)</f>
        <v/>
      </c>
      <c r="BP84" s="175" t="s">
        <v>195</v>
      </c>
      <c r="BQ84" s="197"/>
      <c r="BT84" s="175" t="str">
        <f>IF(BT83="","",BS83)</f>
        <v/>
      </c>
      <c r="BU84" s="175" t="s">
        <v>195</v>
      </c>
      <c r="BV84" s="196"/>
      <c r="BW84" s="178"/>
      <c r="BY84" s="160" t="str">
        <f>IF(BY83="","",BX83)</f>
        <v> </v>
      </c>
      <c r="BZ84" s="160" t="str">
        <f t="shared" si="17"/>
        <v> </v>
      </c>
      <c r="CA84" s="200"/>
      <c r="CB84" s="74" t="str">
        <f t="shared" si="18"/>
        <v>св</v>
      </c>
      <c r="CC84" s="200"/>
      <c r="CD84" s="243"/>
      <c r="CG84" s="180" t="str">
        <f>IF(CG83="","",CF83)</f>
        <v> </v>
      </c>
      <c r="CH84" s="200" t="s">
        <v>194</v>
      </c>
      <c r="CI84" s="182"/>
      <c r="CJ84" s="49" t="s">
        <v>195</v>
      </c>
      <c r="CK84" s="235"/>
      <c r="CL84" s="180" t="str">
        <f>IF(CL83="","",CK83)</f>
        <v> </v>
      </c>
      <c r="CM84" s="49" t="s">
        <v>194</v>
      </c>
      <c r="CN84" s="49"/>
      <c r="CQ84" s="180" t="str">
        <f>IF(CQ83="","",CP83)</f>
        <v> </v>
      </c>
      <c r="CR84" s="49" t="s">
        <v>194</v>
      </c>
      <c r="CS84" s="234"/>
      <c r="CV84" s="180" t="str">
        <f>IF(CV83="","",CU83)</f>
        <v> </v>
      </c>
      <c r="CW84" s="49" t="s">
        <v>194</v>
      </c>
      <c r="CX84" s="49"/>
      <c r="CY84" s="49" t="s">
        <v>195</v>
      </c>
      <c r="CZ84" s="49"/>
      <c r="DA84" s="180" t="str">
        <f>IF(DA83="","",CZ83)</f>
        <v> </v>
      </c>
      <c r="DB84" s="49" t="s">
        <v>194</v>
      </c>
      <c r="DC84" s="49"/>
      <c r="DD84" s="49" t="s">
        <v>195</v>
      </c>
      <c r="DE84" s="49"/>
      <c r="DF84" s="49"/>
      <c r="DG84" s="49"/>
      <c r="DH84" s="49"/>
    </row>
    <row r="85" ht="13.5" hidden="1" customHeight="1">
      <c r="A85" s="54"/>
      <c r="B85" s="187">
        <v>40.0</v>
      </c>
      <c r="C85" s="188" t="str">
        <f>(VLOOKUP($B85,'Пр.взв'!$D$6:$J$63,2,0))</f>
        <v>#N/A</v>
      </c>
      <c r="D85" s="189" t="str">
        <f>(VLOOKUP($B85,'Пр.взв'!$D$6:$J$63,5,0))</f>
        <v>#N/A</v>
      </c>
      <c r="E85" s="190" t="str">
        <f>(VLOOKUP($B85,'Пр.взв'!$D$6:$M$63,8,0))</f>
        <v>#N/A</v>
      </c>
      <c r="F85" s="130"/>
      <c r="G85" s="134"/>
      <c r="H85" s="132"/>
      <c r="I85" s="136"/>
      <c r="J85" s="133" t="str">
        <f>IF(H85="Х","Х",IF($AC85&lt;6," ","Х"))</f>
        <v> </v>
      </c>
      <c r="K85" s="134"/>
      <c r="L85" s="133" t="str">
        <f>IF(J85="Х","Х",IF(K85&lt;3," ",IF($AC85&lt;6," ","Х")))</f>
        <v> </v>
      </c>
      <c r="M85" s="134"/>
      <c r="N85" s="133" t="str">
        <f>IF(L85="Х","Х",IF(M85&lt;3," ",IF($AC85&lt;6," ","Х")))</f>
        <v> </v>
      </c>
      <c r="O85" s="134"/>
      <c r="P85" s="133" t="str">
        <f>IF(N85="Х","Х",IF(O85&lt;3," ",IF($AC85&lt;6," ","Х")))</f>
        <v> </v>
      </c>
      <c r="Q85" s="134"/>
      <c r="R85" s="133" t="str">
        <f>IF(P85="Х","Х",IF(Q85&lt;3," ",IF($AC85&lt;6," ","Х")))</f>
        <v> </v>
      </c>
      <c r="S85" s="134"/>
      <c r="T85" s="133" t="str">
        <f>IF(R85="Х","Х",IF(S85&lt;3," ",IF($AC85&lt;6," ","Х")))</f>
        <v> </v>
      </c>
      <c r="U85" s="135"/>
      <c r="V85" s="133" t="str">
        <f>IF(T85="Х","Х",IF(U85&lt;3," ",IF($AC85&lt;6," ","Х")))</f>
        <v> </v>
      </c>
      <c r="W85" s="135"/>
      <c r="X85" s="133" t="str">
        <f>IF(V85="А1",$AZ$7,IF(V85="Б2",$AZ$6,IF(V85="Б1",$BA$7,IF(V85="А2",$BA$6,IF(V85="Х","Х",IF(V85&lt;6," "," "))))))</f>
        <v> </v>
      </c>
      <c r="Y85" s="136"/>
      <c r="Z85" s="133" t="str">
        <f>IF(V85="Х","Х",IF(ISBLANK(Y85),"",IF(Y85&gt;2.5," ",IF(B85=BB$6,BB$7,BB$6))))</f>
        <v/>
      </c>
      <c r="AA85" s="136"/>
      <c r="AB85" s="240" t="str">
        <f>IF(H85="Х",F$5,IF(J85="Х",H$5,IF(L85="Х",J$5,IF(N85="Х",L$5,IF(P85="Х",N$5,IF(R85="Х",P$5,IF(T85="Х",R$5,IF(X85="Х",T$5,""))))))))</f>
        <v/>
      </c>
      <c r="AC85" s="138">
        <f>SUM(G85+I85+K85+M85+O85+Q85+S85+U85+Y85+AA85)</f>
        <v>0</v>
      </c>
      <c r="AD85" s="241" t="str">
        <f>AF85</f>
        <v>25-71</v>
      </c>
      <c r="AE85" s="140" t="str">
        <f>AD85</f>
        <v>25-71</v>
      </c>
      <c r="AF85" s="141" t="str">
        <f>COUNTIF(AG$6:AG$148,"&gt;"&amp;AG$6:AG$148)+1&amp;REPT("-"&amp;COUNTIF(AG$6:AG$148,"&gt;="&amp;AG$6:AG$148),COUNTIF(AG$6:AG$148,AG85)&gt;1)</f>
        <v>25-71</v>
      </c>
      <c r="AG85" s="142">
        <f>(AR85*100)+(AP85*10)-AC85</f>
        <v>80</v>
      </c>
      <c r="AH85" s="143" t="str">
        <f>IF(OR(F85="Х",F85="св")," ",IF(AND(G85&gt;=0,G85&lt;3),"1"," "))</f>
        <v>1</v>
      </c>
      <c r="AI85" s="90" t="str">
        <f>IF(OR(H85="Х",H85="св")," ",IF(AND(I85&gt;=0,I85&lt;3),"1"," "))</f>
        <v>1</v>
      </c>
      <c r="AJ85" s="90" t="str">
        <f>IF(OR(J85="Х",J85="св")," ",IF(AND(K85&gt;=0,K85&lt;3),"1"," "))</f>
        <v>1</v>
      </c>
      <c r="AK85" s="90" t="str">
        <f>IF(OR(L85="Х",L85="св")," ",IF(AND(M85&gt;=0,M85&lt;3),"1"," "))</f>
        <v>1</v>
      </c>
      <c r="AL85" s="90" t="str">
        <f>IF(OR(N85="Х",N85="св")," ",IF(AND(O85&gt;=0,O85&lt;3),"1"," "))</f>
        <v>1</v>
      </c>
      <c r="AM85" s="90" t="str">
        <f>IF(OR(P85="Х",P85="св")," ",IF(AND(Q85&gt;=0,Q85&lt;3),"1"," "))</f>
        <v>1</v>
      </c>
      <c r="AN85" s="90" t="str">
        <f>IF(OR(R85="Х",R85="св")," ",IF(AND(S85&gt;=0,S85&lt;3),"1"," "))</f>
        <v>1</v>
      </c>
      <c r="AO85" s="90" t="str">
        <f>IF(OR(T85="Х",T85="св")," ",IF(AND(U85&gt;=0,U85&lt;3),"1"," "))</f>
        <v>1</v>
      </c>
      <c r="AP85" s="90">
        <f>COUNTIF(AH85:AO86,1)</f>
        <v>8</v>
      </c>
      <c r="AQ85" s="90">
        <f>AG85-AC85</f>
        <v>80</v>
      </c>
      <c r="AR85" s="144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0" t="str">
        <f>COUNTIF(AG$6:AG$134,"&gt;"&amp;AG$6:AG$134)+1&amp;REPT("-"&amp;COUNTIF(AG$6:AG$134,"&gt;="&amp;AG$6:AG$134),COUNTIF(AG$6:AG$134,AG85)&gt;1)</f>
        <v>25-64</v>
      </c>
      <c r="AT85" s="143" t="str">
        <f t="shared" ref="AT85:AW85" si="45">COUNTIF(AU$6:AU$134,"&gt;"&amp;AU$6:AU$134)+1&amp;REPT("-"&amp;COUNTIF(AU$6:AU$134,"&gt;="&amp;AU$6:AU$134),COUNTIF(AU$6:AU$134,AU85)&gt;1)</f>
        <v>1-64</v>
      </c>
      <c r="AU85" s="143" t="str">
        <f t="shared" si="45"/>
        <v>1-0</v>
      </c>
      <c r="AV85" s="143" t="str">
        <f t="shared" si="45"/>
        <v>1</v>
      </c>
      <c r="AW85" s="143" t="str">
        <f t="shared" si="45"/>
        <v>25</v>
      </c>
      <c r="AX85" s="145">
        <f>IF(X85="Х","Х",IF(Y85&lt;3,B85,"Х"))</f>
        <v>40</v>
      </c>
      <c r="AY85" s="146"/>
      <c r="AZ85" s="146"/>
      <c r="BA85" s="146"/>
      <c r="BB85" s="146"/>
      <c r="BC85" s="49"/>
      <c r="BD85" s="225"/>
      <c r="BE85" s="49"/>
      <c r="BF85" s="224"/>
      <c r="BG85" s="49"/>
      <c r="BH85" s="49"/>
      <c r="BI85" s="49"/>
      <c r="BJ85" s="49"/>
      <c r="BK85" s="49"/>
      <c r="BL85" s="49"/>
      <c r="BM85" s="195">
        <v>40.0</v>
      </c>
      <c r="BN85" s="196"/>
      <c r="BO85" s="153" t="str">
        <f>IF(BM85&lt;BN85,BM85,"")</f>
        <v/>
      </c>
      <c r="BP85" s="196" t="s">
        <v>195</v>
      </c>
      <c r="BQ85" s="197"/>
      <c r="BR85" s="198" t="s">
        <v>195</v>
      </c>
      <c r="BS85" s="196"/>
      <c r="BT85" s="175" t="str">
        <f>IF(BR85&lt;BS85,BR85,"")</f>
        <v/>
      </c>
      <c r="BU85" s="196" t="s">
        <v>195</v>
      </c>
      <c r="BV85" s="196"/>
      <c r="BW85" s="199">
        <v>40.0</v>
      </c>
      <c r="BX85" s="74" t="s">
        <v>194</v>
      </c>
      <c r="BY85" s="160">
        <f t="array" ref="BY85">IF(BW85&lt;BX85,BW85,"")</f>
        <v>40</v>
      </c>
      <c r="BZ85" s="160">
        <f t="shared" si="17"/>
        <v>40</v>
      </c>
      <c r="CA85" s="74"/>
      <c r="CB85" s="74" t="str">
        <f t="shared" si="18"/>
        <v>св</v>
      </c>
      <c r="CC85" s="200"/>
      <c r="CD85" s="243"/>
      <c r="CE85" s="200">
        <v>40.0</v>
      </c>
      <c r="CF85" s="25" t="s">
        <v>194</v>
      </c>
      <c r="CG85" s="153">
        <f t="array" ref="CG85">IF(CE85&lt;CF85,CE85,"")</f>
        <v>40</v>
      </c>
      <c r="CH85" s="74">
        <v>40.0</v>
      </c>
      <c r="CI85" s="182"/>
      <c r="CJ85" s="93">
        <v>40.0</v>
      </c>
      <c r="CK85" s="233" t="s">
        <v>194</v>
      </c>
      <c r="CL85" s="153">
        <f t="array" ref="CL85">IF(CJ85&lt;CK85,CJ85,"")</f>
        <v>40</v>
      </c>
      <c r="CM85" s="49">
        <v>40.0</v>
      </c>
      <c r="CN85" s="49"/>
      <c r="CO85" s="74">
        <v>40.0</v>
      </c>
      <c r="CP85" s="200" t="s">
        <v>194</v>
      </c>
      <c r="CQ85" s="153">
        <f t="array" ref="CQ85">IF(CO85&lt;CP85,CO85,"")</f>
        <v>40</v>
      </c>
      <c r="CR85" s="93">
        <v>40.0</v>
      </c>
      <c r="CS85" s="234"/>
      <c r="CT85" s="200">
        <v>40.0</v>
      </c>
      <c r="CU85" s="74" t="s">
        <v>194</v>
      </c>
      <c r="CV85" s="153">
        <f t="array" ref="CV85">IF(CT85&lt;CU85,CT85,"")</f>
        <v>40</v>
      </c>
      <c r="CW85" s="49">
        <v>40.0</v>
      </c>
      <c r="CX85" s="49"/>
      <c r="CY85" s="49">
        <v>40.0</v>
      </c>
      <c r="CZ85" s="49" t="s">
        <v>194</v>
      </c>
      <c r="DA85" s="153">
        <f t="array" ref="DA85">IF(CY85&lt;CZ85,CY85,"")</f>
        <v>40</v>
      </c>
      <c r="DB85" s="49">
        <v>40.0</v>
      </c>
      <c r="DC85" s="49"/>
      <c r="DD85" s="49">
        <v>40.0</v>
      </c>
      <c r="DE85" s="49"/>
      <c r="DF85" s="49"/>
      <c r="DG85" s="49"/>
      <c r="DH85" s="49"/>
    </row>
    <row r="86" ht="13.5" hidden="1" customHeight="1">
      <c r="A86" s="54"/>
      <c r="B86" s="165"/>
      <c r="C86" s="165"/>
      <c r="D86" s="165"/>
      <c r="E86" s="165"/>
      <c r="F86" s="166"/>
      <c r="G86" s="167"/>
      <c r="H86" s="168"/>
      <c r="I86" s="256"/>
      <c r="J86" s="168"/>
      <c r="K86" s="167"/>
      <c r="L86" s="168"/>
      <c r="M86" s="167"/>
      <c r="N86" s="168"/>
      <c r="O86" s="167"/>
      <c r="P86" s="168"/>
      <c r="Q86" s="167"/>
      <c r="R86" s="168"/>
      <c r="S86" s="167"/>
      <c r="T86" s="168"/>
      <c r="U86" s="169"/>
      <c r="V86" s="168"/>
      <c r="W86" s="169"/>
      <c r="X86" s="168"/>
      <c r="Y86" s="167"/>
      <c r="Z86" s="168"/>
      <c r="AA86" s="167"/>
      <c r="AB86" s="166"/>
      <c r="AC86" s="165"/>
      <c r="AD86" s="168"/>
      <c r="AE86" s="170"/>
      <c r="AF86" s="171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Y86" s="146"/>
      <c r="AZ86" s="146"/>
      <c r="BA86" s="146"/>
      <c r="BB86" s="146"/>
      <c r="BC86" s="49"/>
      <c r="BD86" s="225"/>
      <c r="BE86" s="49"/>
      <c r="BF86" s="224"/>
      <c r="BG86" s="49"/>
      <c r="BH86" s="49"/>
      <c r="BI86" s="49"/>
      <c r="BJ86" s="49"/>
      <c r="BK86" s="49"/>
      <c r="BL86" s="49"/>
      <c r="BM86" s="178"/>
      <c r="BO86" s="175" t="str">
        <f>IF(BO85="","",BN85)</f>
        <v/>
      </c>
      <c r="BP86" s="175" t="s">
        <v>195</v>
      </c>
      <c r="BQ86" s="197"/>
      <c r="BT86" s="175" t="str">
        <f>IF(BT85="","",BS85)</f>
        <v/>
      </c>
      <c r="BU86" s="175" t="s">
        <v>195</v>
      </c>
      <c r="BV86" s="196"/>
      <c r="BW86" s="178"/>
      <c r="BY86" s="160" t="str">
        <f>IF(BY85="","",BX85)</f>
        <v> </v>
      </c>
      <c r="BZ86" s="160" t="str">
        <f t="shared" si="17"/>
        <v> </v>
      </c>
      <c r="CA86" s="200"/>
      <c r="CB86" s="74" t="str">
        <f t="shared" si="18"/>
        <v>св</v>
      </c>
      <c r="CC86" s="200"/>
      <c r="CD86" s="243"/>
      <c r="CG86" s="180" t="str">
        <f>IF(CG85="","",CF85)</f>
        <v> </v>
      </c>
      <c r="CH86" s="200" t="s">
        <v>194</v>
      </c>
      <c r="CI86" s="182"/>
      <c r="CJ86" s="49" t="s">
        <v>195</v>
      </c>
      <c r="CK86" s="235"/>
      <c r="CL86" s="180" t="str">
        <f>IF(CL85="","",CK85)</f>
        <v> </v>
      </c>
      <c r="CM86" s="49" t="s">
        <v>194</v>
      </c>
      <c r="CN86" s="49"/>
      <c r="CQ86" s="180" t="str">
        <f>IF(CQ85="","",CP85)</f>
        <v> </v>
      </c>
      <c r="CR86" s="49" t="s">
        <v>194</v>
      </c>
      <c r="CS86" s="234"/>
      <c r="CV86" s="180" t="str">
        <f>IF(CV85="","",CU85)</f>
        <v> </v>
      </c>
      <c r="CW86" s="49" t="s">
        <v>194</v>
      </c>
      <c r="CX86" s="49"/>
      <c r="CY86" s="49" t="s">
        <v>195</v>
      </c>
      <c r="CZ86" s="49"/>
      <c r="DA86" s="180" t="str">
        <f>IF(DA85="","",CZ85)</f>
        <v> </v>
      </c>
      <c r="DB86" s="49" t="s">
        <v>194</v>
      </c>
      <c r="DC86" s="49"/>
      <c r="DD86" s="49" t="s">
        <v>195</v>
      </c>
      <c r="DE86" s="49"/>
      <c r="DF86" s="49"/>
      <c r="DG86" s="49"/>
      <c r="DH86" s="49"/>
    </row>
    <row r="87" ht="13.5" hidden="1" customHeight="1">
      <c r="A87" s="54"/>
      <c r="B87" s="187">
        <v>41.0</v>
      </c>
      <c r="C87" s="188" t="str">
        <f>(VLOOKUP($B87,'Пр.взв'!$D$6:$J$63,2,0))</f>
        <v>#N/A</v>
      </c>
      <c r="D87" s="189" t="str">
        <f>(VLOOKUP($B87,'Пр.взв'!$D$6:$J$63,5,0))</f>
        <v>#N/A</v>
      </c>
      <c r="E87" s="190" t="str">
        <f>(VLOOKUP($B87,'Пр.взв'!$D$6:$M$63,8,0))</f>
        <v>#N/A</v>
      </c>
      <c r="F87" s="130"/>
      <c r="G87" s="255"/>
      <c r="H87" s="132"/>
      <c r="I87" s="255"/>
      <c r="J87" s="133" t="str">
        <f>IF(H87="Х","Х",IF($AC87&lt;6," ","Х"))</f>
        <v> </v>
      </c>
      <c r="K87" s="134"/>
      <c r="L87" s="133" t="str">
        <f>IF(J87="Х","Х",IF(K87&lt;3," ",IF($AC87&lt;6," ","Х")))</f>
        <v> </v>
      </c>
      <c r="M87" s="134"/>
      <c r="N87" s="133" t="str">
        <f>IF(L87="Х","Х",IF(M87&lt;3," ",IF($AC87&lt;6," ","Х")))</f>
        <v> </v>
      </c>
      <c r="O87" s="134"/>
      <c r="P87" s="133" t="str">
        <f>IF(N87="Х","Х",IF(O87&lt;3," ",IF($AC87&lt;6," ","Х")))</f>
        <v> </v>
      </c>
      <c r="Q87" s="134"/>
      <c r="R87" s="133" t="str">
        <f>IF(P87="Х","Х",IF(Q87&lt;3," ",IF($AC87&lt;6," ","Х")))</f>
        <v> </v>
      </c>
      <c r="S87" s="134"/>
      <c r="T87" s="133" t="str">
        <f>IF(R87="Х","Х",IF(S87&lt;3," ",IF($AC87&lt;6," ","Х")))</f>
        <v> </v>
      </c>
      <c r="U87" s="135"/>
      <c r="V87" s="133" t="str">
        <f>IF(T87="Х","Х",IF(U87&lt;3," ",IF($AC87&lt;6," ","Х")))</f>
        <v> </v>
      </c>
      <c r="W87" s="135"/>
      <c r="X87" s="133" t="str">
        <f>IF(V87="А1",$AZ$7,IF(V87="Б2",$AZ$6,IF(V87="Б1",$BA$7,IF(V87="А2",$BA$6,IF(V87="Х","Х",IF(V87&lt;6," "," "))))))</f>
        <v> </v>
      </c>
      <c r="Y87" s="136"/>
      <c r="Z87" s="133" t="str">
        <f>IF(V87="Х","Х",IF(ISBLANK(Y87),"",IF(Y87&gt;2.5," ",IF(B87=BB$6,BB$7,BB$6))))</f>
        <v/>
      </c>
      <c r="AA87" s="136"/>
      <c r="AB87" s="240" t="str">
        <f>IF(H87="Х",F$5,IF(J87="Х",H$5,IF(L87="Х",J$5,IF(N87="Х",L$5,IF(P87="Х",N$5,IF(R87="Х",P$5,IF(T87="Х",R$5,IF(X87="Х",T$5,""))))))))</f>
        <v/>
      </c>
      <c r="AC87" s="138">
        <f>SUM(G87+I87+K87+M87+O87+Q87+S87+U87+Y87+AA87)</f>
        <v>0</v>
      </c>
      <c r="AD87" s="241" t="str">
        <f>AF87</f>
        <v>25-71</v>
      </c>
      <c r="AE87" s="140" t="str">
        <f>AD87</f>
        <v>25-71</v>
      </c>
      <c r="AF87" s="141" t="str">
        <f>COUNTIF(AG$6:AG$148,"&gt;"&amp;AG$6:AG$148)+1&amp;REPT("-"&amp;COUNTIF(AG$6:AG$148,"&gt;="&amp;AG$6:AG$148),COUNTIF(AG$6:AG$148,AG87)&gt;1)</f>
        <v>25-71</v>
      </c>
      <c r="AG87" s="142">
        <f>(AR87*100)+(AP87*10)-AC87</f>
        <v>80</v>
      </c>
      <c r="AH87" s="143" t="str">
        <f>IF(OR(F87="Х",F87="св")," ",IF(AND(G87&gt;=0,G87&lt;3),"1"," "))</f>
        <v>1</v>
      </c>
      <c r="AI87" s="90" t="str">
        <f>IF(OR(H87="Х",H87="св")," ",IF(AND(I87&gt;=0,I87&lt;3),"1"," "))</f>
        <v>1</v>
      </c>
      <c r="AJ87" s="90" t="str">
        <f>IF(OR(J87="Х",J87="св")," ",IF(AND(K87&gt;=0,K87&lt;3),"1"," "))</f>
        <v>1</v>
      </c>
      <c r="AK87" s="90" t="str">
        <f>IF(OR(L87="Х",L87="св")," ",IF(AND(M87&gt;=0,M87&lt;3),"1"," "))</f>
        <v>1</v>
      </c>
      <c r="AL87" s="90" t="str">
        <f>IF(OR(N87="Х",N87="св")," ",IF(AND(O87&gt;=0,O87&lt;3),"1"," "))</f>
        <v>1</v>
      </c>
      <c r="AM87" s="90" t="str">
        <f>IF(OR(P87="Х",P87="св")," ",IF(AND(Q87&gt;=0,Q87&lt;3),"1"," "))</f>
        <v>1</v>
      </c>
      <c r="AN87" s="90" t="str">
        <f>IF(OR(R87="Х",R87="св")," ",IF(AND(S87&gt;=0,S87&lt;3),"1"," "))</f>
        <v>1</v>
      </c>
      <c r="AO87" s="90" t="str">
        <f>IF(OR(T87="Х",T87="св")," ",IF(AND(U87&gt;=0,U87&lt;3),"1"," "))</f>
        <v>1</v>
      </c>
      <c r="AP87" s="90">
        <f>COUNTIF(AH87:AO88,1)</f>
        <v>8</v>
      </c>
      <c r="AQ87" s="90">
        <f>AG87-AC87</f>
        <v>80</v>
      </c>
      <c r="AR87" s="144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0" t="str">
        <f>COUNTIF(AG$6:AG$134,"&gt;"&amp;AG$6:AG$134)+1&amp;REPT("-"&amp;COUNTIF(AG$6:AG$134,"&gt;="&amp;AG$6:AG$134),COUNTIF(AG$6:AG$134,AG87)&gt;1)</f>
        <v>25-64</v>
      </c>
      <c r="AT87" s="143" t="str">
        <f t="shared" ref="AT87:AW87" si="46">COUNTIF(AU$6:AU$134,"&gt;"&amp;AU$6:AU$134)+1&amp;REPT("-"&amp;COUNTIF(AU$6:AU$134,"&gt;="&amp;AU$6:AU$134),COUNTIF(AU$6:AU$134,AU87)&gt;1)</f>
        <v>1-64</v>
      </c>
      <c r="AU87" s="143" t="str">
        <f t="shared" si="46"/>
        <v>1-0</v>
      </c>
      <c r="AV87" s="143" t="str">
        <f t="shared" si="46"/>
        <v>1</v>
      </c>
      <c r="AW87" s="143" t="str">
        <f t="shared" si="46"/>
        <v>24</v>
      </c>
      <c r="AX87" s="145">
        <f>IF(X87="Х","Х",IF(Y87&lt;3,B87,"Х"))</f>
        <v>41</v>
      </c>
      <c r="AY87" s="146"/>
      <c r="AZ87" s="146"/>
      <c r="BA87" s="146"/>
      <c r="BB87" s="146"/>
      <c r="BC87" s="49"/>
      <c r="BD87" s="225"/>
      <c r="BE87" s="49"/>
      <c r="BF87" s="224"/>
      <c r="BG87" s="49"/>
      <c r="BH87" s="49"/>
      <c r="BI87" s="49"/>
      <c r="BJ87" s="49"/>
      <c r="BK87" s="49"/>
      <c r="BL87" s="49"/>
      <c r="BM87" s="195">
        <v>41.0</v>
      </c>
      <c r="BN87" s="196"/>
      <c r="BO87" s="153" t="str">
        <f>IF(BM87&lt;BN87,BM87,"")</f>
        <v/>
      </c>
      <c r="BP87" s="196" t="s">
        <v>195</v>
      </c>
      <c r="BQ87" s="197"/>
      <c r="BR87" s="198" t="s">
        <v>195</v>
      </c>
      <c r="BS87" s="196"/>
      <c r="BT87" s="175" t="str">
        <f>IF(BR87&lt;BS87,BR87,"")</f>
        <v/>
      </c>
      <c r="BU87" s="196" t="s">
        <v>195</v>
      </c>
      <c r="BV87" s="196"/>
      <c r="BW87" s="199">
        <v>41.0</v>
      </c>
      <c r="BX87" s="74" t="s">
        <v>194</v>
      </c>
      <c r="BY87" s="160">
        <f t="array" ref="BY87">IF(BW87&lt;BX87,BW87,"")</f>
        <v>41</v>
      </c>
      <c r="BZ87" s="160">
        <f t="shared" si="17"/>
        <v>41</v>
      </c>
      <c r="CA87" s="74"/>
      <c r="CB87" s="74" t="str">
        <f t="shared" si="18"/>
        <v>св</v>
      </c>
      <c r="CC87" s="200"/>
      <c r="CD87" s="243"/>
      <c r="CE87" s="200">
        <v>41.0</v>
      </c>
      <c r="CF87" s="25" t="s">
        <v>194</v>
      </c>
      <c r="CG87" s="153">
        <f t="array" ref="CG87">IF(CE87&lt;CF87,CE87,"")</f>
        <v>41</v>
      </c>
      <c r="CH87" s="74">
        <v>41.0</v>
      </c>
      <c r="CI87" s="182"/>
      <c r="CJ87" s="93">
        <v>41.0</v>
      </c>
      <c r="CK87" s="233" t="s">
        <v>194</v>
      </c>
      <c r="CL87" s="153">
        <f t="array" ref="CL87">IF(CJ87&lt;CK87,CJ87,"")</f>
        <v>41</v>
      </c>
      <c r="CM87" s="49">
        <v>41.0</v>
      </c>
      <c r="CN87" s="49"/>
      <c r="CO87" s="74">
        <v>41.0</v>
      </c>
      <c r="CP87" s="200" t="s">
        <v>194</v>
      </c>
      <c r="CQ87" s="153">
        <f t="array" ref="CQ87">IF(CO87&lt;CP87,CO87,"")</f>
        <v>41</v>
      </c>
      <c r="CR87" s="93">
        <v>41.0</v>
      </c>
      <c r="CS87" s="234"/>
      <c r="CT87" s="200">
        <v>41.0</v>
      </c>
      <c r="CU87" s="74" t="s">
        <v>194</v>
      </c>
      <c r="CV87" s="153">
        <f t="array" ref="CV87">IF(CT87&lt;CU87,CT87,"")</f>
        <v>41</v>
      </c>
      <c r="CW87" s="49">
        <v>41.0</v>
      </c>
      <c r="CX87" s="49"/>
      <c r="CY87" s="49">
        <v>41.0</v>
      </c>
      <c r="CZ87" s="49" t="s">
        <v>194</v>
      </c>
      <c r="DA87" s="153">
        <f t="array" ref="DA87">IF(CY87&lt;CZ87,CY87,"")</f>
        <v>41</v>
      </c>
      <c r="DB87" s="49">
        <v>41.0</v>
      </c>
      <c r="DC87" s="49"/>
      <c r="DD87" s="49">
        <v>41.0</v>
      </c>
      <c r="DE87" s="49"/>
      <c r="DF87" s="49"/>
      <c r="DG87" s="49"/>
      <c r="DH87" s="49"/>
    </row>
    <row r="88" ht="13.5" hidden="1" customHeight="1">
      <c r="A88" s="54"/>
      <c r="B88" s="165"/>
      <c r="C88" s="165"/>
      <c r="D88" s="165"/>
      <c r="E88" s="165"/>
      <c r="F88" s="166"/>
      <c r="G88" s="167"/>
      <c r="H88" s="168"/>
      <c r="I88" s="167"/>
      <c r="J88" s="168"/>
      <c r="K88" s="167"/>
      <c r="L88" s="168"/>
      <c r="M88" s="167"/>
      <c r="N88" s="168"/>
      <c r="O88" s="167"/>
      <c r="P88" s="168"/>
      <c r="Q88" s="167"/>
      <c r="R88" s="168"/>
      <c r="S88" s="167"/>
      <c r="T88" s="168"/>
      <c r="U88" s="169"/>
      <c r="V88" s="168"/>
      <c r="W88" s="169"/>
      <c r="X88" s="168"/>
      <c r="Y88" s="167"/>
      <c r="Z88" s="168"/>
      <c r="AA88" s="167"/>
      <c r="AB88" s="166"/>
      <c r="AC88" s="165"/>
      <c r="AD88" s="168"/>
      <c r="AE88" s="170"/>
      <c r="AF88" s="171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Y88" s="146"/>
      <c r="AZ88" s="146"/>
      <c r="BA88" s="146"/>
      <c r="BB88" s="146"/>
      <c r="BC88" s="49"/>
      <c r="BD88" s="225"/>
      <c r="BE88" s="49"/>
      <c r="BF88" s="224"/>
      <c r="BG88" s="49"/>
      <c r="BH88" s="49"/>
      <c r="BI88" s="49"/>
      <c r="BJ88" s="49"/>
      <c r="BK88" s="49"/>
      <c r="BL88" s="49"/>
      <c r="BM88" s="178"/>
      <c r="BO88" s="175" t="str">
        <f>IF(BO87="","",BN87)</f>
        <v/>
      </c>
      <c r="BP88" s="175" t="s">
        <v>195</v>
      </c>
      <c r="BQ88" s="197"/>
      <c r="BT88" s="175" t="str">
        <f>IF(BT87="","",BS87)</f>
        <v/>
      </c>
      <c r="BU88" s="175" t="s">
        <v>195</v>
      </c>
      <c r="BV88" s="196"/>
      <c r="BW88" s="178"/>
      <c r="BY88" s="160" t="str">
        <f>IF(BY87="","",BX87)</f>
        <v> </v>
      </c>
      <c r="BZ88" s="160" t="str">
        <f t="shared" si="17"/>
        <v> </v>
      </c>
      <c r="CA88" s="200"/>
      <c r="CB88" s="74" t="str">
        <f t="shared" si="18"/>
        <v>св</v>
      </c>
      <c r="CC88" s="200"/>
      <c r="CD88" s="243"/>
      <c r="CG88" s="180" t="str">
        <f>IF(CG87="","",CF87)</f>
        <v> </v>
      </c>
      <c r="CH88" s="200" t="s">
        <v>194</v>
      </c>
      <c r="CI88" s="182"/>
      <c r="CJ88" s="49" t="s">
        <v>195</v>
      </c>
      <c r="CK88" s="235"/>
      <c r="CL88" s="180" t="str">
        <f>IF(CL87="","",CK87)</f>
        <v> </v>
      </c>
      <c r="CM88" s="49" t="s">
        <v>194</v>
      </c>
      <c r="CN88" s="49"/>
      <c r="CQ88" s="180" t="str">
        <f>IF(CQ87="","",CP87)</f>
        <v> </v>
      </c>
      <c r="CR88" s="49" t="s">
        <v>194</v>
      </c>
      <c r="CS88" s="234"/>
      <c r="CV88" s="180" t="str">
        <f>IF(CV87="","",CU87)</f>
        <v> </v>
      </c>
      <c r="CW88" s="49" t="s">
        <v>194</v>
      </c>
      <c r="CX88" s="49"/>
      <c r="CY88" s="49" t="s">
        <v>195</v>
      </c>
      <c r="CZ88" s="49"/>
      <c r="DA88" s="180" t="str">
        <f>IF(DA87="","",CZ87)</f>
        <v> </v>
      </c>
      <c r="DB88" s="49" t="s">
        <v>194</v>
      </c>
      <c r="DC88" s="49"/>
      <c r="DD88" s="49" t="s">
        <v>195</v>
      </c>
      <c r="DE88" s="49"/>
      <c r="DF88" s="49"/>
      <c r="DG88" s="49"/>
      <c r="DH88" s="49"/>
    </row>
    <row r="89" ht="13.5" hidden="1" customHeight="1">
      <c r="A89" s="54"/>
      <c r="B89" s="187">
        <v>42.0</v>
      </c>
      <c r="C89" s="188" t="str">
        <f>(VLOOKUP($B89,'Пр.взв'!$D$6:$J$63,2,0))</f>
        <v>#N/A</v>
      </c>
      <c r="D89" s="189" t="str">
        <f>(VLOOKUP($B89,'Пр.взв'!$D$6:$J$63,5,0))</f>
        <v>#N/A</v>
      </c>
      <c r="E89" s="190" t="str">
        <f>(VLOOKUP($B89,'Пр.взв'!$D$6:$M$63,8,0))</f>
        <v>#N/A</v>
      </c>
      <c r="F89" s="130"/>
      <c r="G89" s="134"/>
      <c r="H89" s="132"/>
      <c r="I89" s="136"/>
      <c r="J89" s="133" t="str">
        <f>IF(H89="Х","Х",IF($AC89&lt;6," ","Х"))</f>
        <v> </v>
      </c>
      <c r="K89" s="134"/>
      <c r="L89" s="133" t="str">
        <f>IF(J89="Х","Х",IF(K89&lt;3," ",IF($AC89&lt;6," ","Х")))</f>
        <v> </v>
      </c>
      <c r="M89" s="134"/>
      <c r="N89" s="133" t="str">
        <f>IF(L89="Х","Х",IF(M89&lt;3," ",IF($AC89&lt;6," ","Х")))</f>
        <v> </v>
      </c>
      <c r="O89" s="134"/>
      <c r="P89" s="133" t="str">
        <f>IF(N89="Х","Х",IF(O89&lt;3," ",IF($AC89&lt;6," ","Х")))</f>
        <v> </v>
      </c>
      <c r="Q89" s="134"/>
      <c r="R89" s="133" t="str">
        <f>IF(P89="Х","Х",IF(Q89&lt;3," ",IF($AC89&lt;6," ","Х")))</f>
        <v> </v>
      </c>
      <c r="S89" s="134"/>
      <c r="T89" s="133" t="str">
        <f>IF(R89="Х","Х",IF(S89&lt;3," ",IF($AC89&lt;6," ","Х")))</f>
        <v> </v>
      </c>
      <c r="U89" s="135"/>
      <c r="V89" s="133" t="str">
        <f>IF(T89="Х","Х",IF(U89&lt;3," ",IF($AC89&lt;6," ","Х")))</f>
        <v> </v>
      </c>
      <c r="W89" s="135"/>
      <c r="X89" s="133" t="str">
        <f>IF(V89="А1",$AZ$7,IF(V89="Б2",$AZ$6,IF(V89="Б1",$BA$7,IF(V89="А2",$BA$6,IF(V89="Х","Х",IF(V89&lt;6," "," "))))))</f>
        <v> </v>
      </c>
      <c r="Y89" s="136"/>
      <c r="Z89" s="133" t="str">
        <f>IF(V89="Х","Х",IF(ISBLANK(Y89),"",IF(Y89&gt;2.5," ",IF(B89=BB$6,BB$7,BB$6))))</f>
        <v/>
      </c>
      <c r="AA89" s="136"/>
      <c r="AB89" s="240" t="str">
        <f>IF(H89="Х",F$5,IF(J89="Х",H$5,IF(L89="Х",J$5,IF(N89="Х",L$5,IF(P89="Х",N$5,IF(R89="Х",P$5,IF(T89="Х",R$5,IF(X89="Х",T$5,""))))))))</f>
        <v/>
      </c>
      <c r="AC89" s="138">
        <f>SUM(G89+I89+K89+M89+O89+Q89+S89+U89+Y89+AA89)</f>
        <v>0</v>
      </c>
      <c r="AD89" s="241" t="str">
        <f>AF89</f>
        <v>25-71</v>
      </c>
      <c r="AE89" s="140" t="str">
        <f>AD89</f>
        <v>25-71</v>
      </c>
      <c r="AF89" s="141" t="str">
        <f>COUNTIF(AG$6:AG$148,"&gt;"&amp;AG$6:AG$148)+1&amp;REPT("-"&amp;COUNTIF(AG$6:AG$148,"&gt;="&amp;AG$6:AG$148),COUNTIF(AG$6:AG$148,AG89)&gt;1)</f>
        <v>25-71</v>
      </c>
      <c r="AG89" s="142">
        <f>(AR89*100)+(AP89*10)-AC89</f>
        <v>80</v>
      </c>
      <c r="AH89" s="143" t="str">
        <f>IF(OR(F89="Х",F89="св")," ",IF(AND(G89&gt;=0,G89&lt;3),"1"," "))</f>
        <v>1</v>
      </c>
      <c r="AI89" s="90" t="str">
        <f>IF(OR(H89="Х",H89="св")," ",IF(AND(I89&gt;=0,I89&lt;3),"1"," "))</f>
        <v>1</v>
      </c>
      <c r="AJ89" s="90" t="str">
        <f>IF(OR(J89="Х",J89="св")," ",IF(AND(K89&gt;=0,K89&lt;3),"1"," "))</f>
        <v>1</v>
      </c>
      <c r="AK89" s="90" t="str">
        <f>IF(OR(L89="Х",L89="св")," ",IF(AND(M89&gt;=0,M89&lt;3),"1"," "))</f>
        <v>1</v>
      </c>
      <c r="AL89" s="90" t="str">
        <f>IF(OR(N89="Х",N89="св")," ",IF(AND(O89&gt;=0,O89&lt;3),"1"," "))</f>
        <v>1</v>
      </c>
      <c r="AM89" s="90" t="str">
        <f>IF(OR(P89="Х",P89="св")," ",IF(AND(Q89&gt;=0,Q89&lt;3),"1"," "))</f>
        <v>1</v>
      </c>
      <c r="AN89" s="90" t="str">
        <f>IF(OR(R89="Х",R89="св")," ",IF(AND(S89&gt;=0,S89&lt;3),"1"," "))</f>
        <v>1</v>
      </c>
      <c r="AO89" s="90" t="str">
        <f>IF(OR(T89="Х",T89="св")," ",IF(AND(U89&gt;=0,U89&lt;3),"1"," "))</f>
        <v>1</v>
      </c>
      <c r="AP89" s="90">
        <f>COUNTIF(AH89:AO90,1)</f>
        <v>8</v>
      </c>
      <c r="AQ89" s="90">
        <f>AG89-AC89</f>
        <v>80</v>
      </c>
      <c r="AR89" s="144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0" t="str">
        <f>COUNTIF(AG$6:AG$134,"&gt;"&amp;AG$6:AG$134)+1&amp;REPT("-"&amp;COUNTIF(AG$6:AG$134,"&gt;="&amp;AG$6:AG$134),COUNTIF(AG$6:AG$134,AG89)&gt;1)</f>
        <v>25-64</v>
      </c>
      <c r="AT89" s="143" t="str">
        <f t="shared" ref="AT89:AW89" si="47">COUNTIF(AU$6:AU$134,"&gt;"&amp;AU$6:AU$134)+1&amp;REPT("-"&amp;COUNTIF(AU$6:AU$134,"&gt;="&amp;AU$6:AU$134),COUNTIF(AU$6:AU$134,AU89)&gt;1)</f>
        <v>1-64</v>
      </c>
      <c r="AU89" s="143" t="str">
        <f t="shared" si="47"/>
        <v>1-0</v>
      </c>
      <c r="AV89" s="143" t="str">
        <f t="shared" si="47"/>
        <v>1</v>
      </c>
      <c r="AW89" s="143" t="str">
        <f t="shared" si="47"/>
        <v>23</v>
      </c>
      <c r="AX89" s="145">
        <f>IF(X89="Х","Х",IF(Y89&lt;3,B89,"Х"))</f>
        <v>42</v>
      </c>
      <c r="AY89" s="146"/>
      <c r="AZ89" s="146"/>
      <c r="BA89" s="146"/>
      <c r="BB89" s="146"/>
      <c r="BC89" s="49"/>
      <c r="BD89" s="225"/>
      <c r="BE89" s="49"/>
      <c r="BF89" s="224"/>
      <c r="BG89" s="49"/>
      <c r="BH89" s="49"/>
      <c r="BI89" s="49"/>
      <c r="BJ89" s="49"/>
      <c r="BK89" s="49"/>
      <c r="BL89" s="49"/>
      <c r="BM89" s="195">
        <v>42.0</v>
      </c>
      <c r="BN89" s="196"/>
      <c r="BO89" s="153" t="str">
        <f>IF(BM89&lt;BN89,BM89,"")</f>
        <v/>
      </c>
      <c r="BP89" s="196" t="s">
        <v>195</v>
      </c>
      <c r="BQ89" s="197"/>
      <c r="BR89" s="198" t="s">
        <v>195</v>
      </c>
      <c r="BS89" s="196"/>
      <c r="BT89" s="175" t="str">
        <f>IF(BR89&lt;BS89,BR89,"")</f>
        <v/>
      </c>
      <c r="BU89" s="196" t="s">
        <v>195</v>
      </c>
      <c r="BV89" s="196"/>
      <c r="BW89" s="199">
        <v>42.0</v>
      </c>
      <c r="BX89" s="74" t="s">
        <v>194</v>
      </c>
      <c r="BY89" s="160">
        <f t="array" ref="BY89">IF(BW89&lt;BX89,BW89,"")</f>
        <v>42</v>
      </c>
      <c r="BZ89" s="160">
        <f t="shared" si="17"/>
        <v>42</v>
      </c>
      <c r="CA89" s="74"/>
      <c r="CB89" s="74" t="str">
        <f t="shared" si="18"/>
        <v>св</v>
      </c>
      <c r="CC89" s="200"/>
      <c r="CD89" s="243"/>
      <c r="CE89" s="200">
        <v>42.0</v>
      </c>
      <c r="CF89" s="25" t="s">
        <v>194</v>
      </c>
      <c r="CG89" s="153">
        <f t="array" ref="CG89">IF(CE89&lt;CF89,CE89,"")</f>
        <v>42</v>
      </c>
      <c r="CH89" s="74">
        <v>42.0</v>
      </c>
      <c r="CI89" s="182"/>
      <c r="CJ89" s="93">
        <v>42.0</v>
      </c>
      <c r="CK89" s="233" t="s">
        <v>194</v>
      </c>
      <c r="CL89" s="153">
        <f t="array" ref="CL89">IF(CJ89&lt;CK89,CJ89,"")</f>
        <v>42</v>
      </c>
      <c r="CM89" s="49">
        <v>42.0</v>
      </c>
      <c r="CN89" s="49"/>
      <c r="CO89" s="74">
        <v>42.0</v>
      </c>
      <c r="CP89" s="200" t="s">
        <v>194</v>
      </c>
      <c r="CQ89" s="153">
        <f t="array" ref="CQ89">IF(CO89&lt;CP89,CO89,"")</f>
        <v>42</v>
      </c>
      <c r="CR89" s="93">
        <v>42.0</v>
      </c>
      <c r="CS89" s="234"/>
      <c r="CT89" s="200">
        <v>42.0</v>
      </c>
      <c r="CU89" s="74" t="s">
        <v>194</v>
      </c>
      <c r="CV89" s="153">
        <f t="array" ref="CV89">IF(CT89&lt;CU89,CT89,"")</f>
        <v>42</v>
      </c>
      <c r="CW89" s="49">
        <v>42.0</v>
      </c>
      <c r="CX89" s="49"/>
      <c r="CY89" s="49">
        <v>42.0</v>
      </c>
      <c r="CZ89" s="49" t="s">
        <v>194</v>
      </c>
      <c r="DA89" s="153">
        <f t="array" ref="DA89">IF(CY89&lt;CZ89,CY89,"")</f>
        <v>42</v>
      </c>
      <c r="DB89" s="49">
        <v>42.0</v>
      </c>
      <c r="DC89" s="49"/>
      <c r="DD89" s="49">
        <v>42.0</v>
      </c>
      <c r="DE89" s="49"/>
      <c r="DF89" s="49"/>
      <c r="DG89" s="49"/>
      <c r="DH89" s="49"/>
    </row>
    <row r="90" ht="13.5" hidden="1" customHeight="1">
      <c r="A90" s="54"/>
      <c r="B90" s="165"/>
      <c r="C90" s="165"/>
      <c r="D90" s="165"/>
      <c r="E90" s="165"/>
      <c r="F90" s="166"/>
      <c r="G90" s="167"/>
      <c r="H90" s="168"/>
      <c r="I90" s="167"/>
      <c r="J90" s="168"/>
      <c r="K90" s="167"/>
      <c r="L90" s="168"/>
      <c r="M90" s="167"/>
      <c r="N90" s="168"/>
      <c r="O90" s="167"/>
      <c r="P90" s="168"/>
      <c r="Q90" s="167"/>
      <c r="R90" s="168"/>
      <c r="S90" s="167"/>
      <c r="T90" s="168"/>
      <c r="U90" s="169"/>
      <c r="V90" s="168"/>
      <c r="W90" s="169"/>
      <c r="X90" s="168"/>
      <c r="Y90" s="167"/>
      <c r="Z90" s="168"/>
      <c r="AA90" s="167"/>
      <c r="AB90" s="166"/>
      <c r="AC90" s="165"/>
      <c r="AD90" s="168"/>
      <c r="AE90" s="170"/>
      <c r="AF90" s="171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Y90" s="146"/>
      <c r="AZ90" s="146"/>
      <c r="BA90" s="146"/>
      <c r="BB90" s="146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178"/>
      <c r="BO90" s="175" t="str">
        <f>IF(BO89="","",BN89)</f>
        <v/>
      </c>
      <c r="BP90" s="175" t="s">
        <v>195</v>
      </c>
      <c r="BQ90" s="197"/>
      <c r="BT90" s="175" t="str">
        <f>IF(BT89="","",BS89)</f>
        <v/>
      </c>
      <c r="BU90" s="175" t="s">
        <v>195</v>
      </c>
      <c r="BV90" s="196"/>
      <c r="BW90" s="178"/>
      <c r="BY90" s="160" t="str">
        <f>IF(BY89="","",BX89)</f>
        <v> </v>
      </c>
      <c r="BZ90" s="160" t="str">
        <f t="shared" si="17"/>
        <v> </v>
      </c>
      <c r="CA90" s="200"/>
      <c r="CB90" s="74" t="str">
        <f t="shared" si="18"/>
        <v>св</v>
      </c>
      <c r="CC90" s="200"/>
      <c r="CD90" s="243"/>
      <c r="CG90" s="180" t="str">
        <f>IF(CG89="","",CF89)</f>
        <v> </v>
      </c>
      <c r="CH90" s="200" t="s">
        <v>194</v>
      </c>
      <c r="CI90" s="182"/>
      <c r="CJ90" s="49" t="s">
        <v>195</v>
      </c>
      <c r="CK90" s="235"/>
      <c r="CL90" s="180" t="str">
        <f>IF(CL89="","",CK89)</f>
        <v> </v>
      </c>
      <c r="CM90" s="49" t="s">
        <v>194</v>
      </c>
      <c r="CN90" s="49"/>
      <c r="CQ90" s="180" t="str">
        <f>IF(CQ89="","",CP89)</f>
        <v> </v>
      </c>
      <c r="CR90" s="49" t="s">
        <v>194</v>
      </c>
      <c r="CS90" s="234"/>
      <c r="CV90" s="180" t="str">
        <f>IF(CV89="","",CU89)</f>
        <v> </v>
      </c>
      <c r="CW90" s="49" t="s">
        <v>194</v>
      </c>
      <c r="CX90" s="49"/>
      <c r="CY90" s="49" t="s">
        <v>195</v>
      </c>
      <c r="CZ90" s="49"/>
      <c r="DA90" s="180" t="str">
        <f>IF(DA89="","",CZ89)</f>
        <v> </v>
      </c>
      <c r="DB90" s="49" t="s">
        <v>194</v>
      </c>
      <c r="DC90" s="49"/>
      <c r="DD90" s="49" t="s">
        <v>195</v>
      </c>
      <c r="DE90" s="49"/>
      <c r="DF90" s="49"/>
      <c r="DG90" s="49"/>
      <c r="DH90" s="49"/>
    </row>
    <row r="91" ht="13.5" hidden="1" customHeight="1">
      <c r="A91" s="54"/>
      <c r="B91" s="187">
        <v>43.0</v>
      </c>
      <c r="C91" s="188" t="str">
        <f>(VLOOKUP($B91,'Пр.взв'!$D$6:$J$63,2,0))</f>
        <v>#N/A</v>
      </c>
      <c r="D91" s="189" t="str">
        <f>(VLOOKUP($B91,'Пр.взв'!$D$6:$J$63,5,0))</f>
        <v>#N/A</v>
      </c>
      <c r="E91" s="190" t="str">
        <f>(VLOOKUP($B91,'Пр.взв'!$D$6:$M$63,8,0))</f>
        <v>#N/A</v>
      </c>
      <c r="F91" s="130"/>
      <c r="G91" s="255"/>
      <c r="H91" s="132"/>
      <c r="I91" s="255"/>
      <c r="J91" s="133" t="str">
        <f>IF(H91="Х","Х",IF($AC91&lt;6," ","Х"))</f>
        <v> </v>
      </c>
      <c r="K91" s="134"/>
      <c r="L91" s="133" t="str">
        <f>IF(J91="Х","Х",IF(K91&lt;3," ",IF($AC91&lt;6," ","Х")))</f>
        <v> </v>
      </c>
      <c r="M91" s="134"/>
      <c r="N91" s="133" t="str">
        <f>IF(L91="Х","Х",IF(M91&lt;3," ",IF($AC91&lt;6," ","Х")))</f>
        <v> </v>
      </c>
      <c r="O91" s="134"/>
      <c r="P91" s="133" t="str">
        <f>IF(N91="Х","Х",IF(O91&lt;3," ",IF($AC91&lt;6," ","Х")))</f>
        <v> </v>
      </c>
      <c r="Q91" s="134"/>
      <c r="R91" s="133" t="str">
        <f>IF(P91="Х","Х",IF(Q91&lt;3," ",IF($AC91&lt;6," ","Х")))</f>
        <v> </v>
      </c>
      <c r="S91" s="134"/>
      <c r="T91" s="133" t="str">
        <f>IF(R91="Х","Х",IF(S91&lt;3," ",IF($AC91&lt;6," ","Х")))</f>
        <v> </v>
      </c>
      <c r="U91" s="135"/>
      <c r="V91" s="133" t="str">
        <f>IF(T91="Х","Х",IF(U91&lt;3," ",IF($AC91&lt;6," ","Х")))</f>
        <v> </v>
      </c>
      <c r="W91" s="135"/>
      <c r="X91" s="133" t="str">
        <f>IF(V91="А1",$AZ$7,IF(V91="Б2",$AZ$6,IF(V91="Б1",$BA$7,IF(V91="А2",$BA$6,IF(V91="Х","Х",IF(V91&lt;6," "," "))))))</f>
        <v> </v>
      </c>
      <c r="Y91" s="136"/>
      <c r="Z91" s="133" t="str">
        <f>IF(V91="Х","Х",IF(ISBLANK(Y91),"",IF(Y91&gt;2.5," ",IF(B91=BB$6,BB$7,BB$6))))</f>
        <v/>
      </c>
      <c r="AA91" s="136"/>
      <c r="AB91" s="240" t="str">
        <f>IF(H91="Х",F$5,IF(J91="Х",H$5,IF(L91="Х",J$5,IF(N91="Х",L$5,IF(P91="Х",N$5,IF(R91="Х",P$5,IF(T91="Х",R$5,IF(X91="Х",T$5,""))))))))</f>
        <v/>
      </c>
      <c r="AC91" s="138">
        <f>SUM(G91+I91+K91+M91+O91+Q91+S91+U91+Y91+AA91)</f>
        <v>0</v>
      </c>
      <c r="AD91" s="241" t="str">
        <f>AF91</f>
        <v>25-71</v>
      </c>
      <c r="AE91" s="140" t="str">
        <f>AD91</f>
        <v>25-71</v>
      </c>
      <c r="AF91" s="141" t="str">
        <f>COUNTIF(AG$6:AG$148,"&gt;"&amp;AG$6:AG$148)+1&amp;REPT("-"&amp;COUNTIF(AG$6:AG$148,"&gt;="&amp;AG$6:AG$148),COUNTIF(AG$6:AG$148,AG91)&gt;1)</f>
        <v>25-71</v>
      </c>
      <c r="AG91" s="142">
        <f>(AR91*100)+(AP91*10)-AC91</f>
        <v>80</v>
      </c>
      <c r="AH91" s="143" t="str">
        <f>IF(OR(F91="Х",F91="св")," ",IF(AND(G91&gt;=0,G91&lt;3),"1"," "))</f>
        <v>1</v>
      </c>
      <c r="AI91" s="90" t="str">
        <f>IF(OR(H91="Х",H91="св")," ",IF(AND(I91&gt;=0,I91&lt;3),"1"," "))</f>
        <v>1</v>
      </c>
      <c r="AJ91" s="90" t="str">
        <f>IF(OR(J91="Х",J91="св")," ",IF(AND(K91&gt;=0,K91&lt;3),"1"," "))</f>
        <v>1</v>
      </c>
      <c r="AK91" s="90" t="str">
        <f>IF(OR(L91="Х",L91="св")," ",IF(AND(M91&gt;=0,M91&lt;3),"1"," "))</f>
        <v>1</v>
      </c>
      <c r="AL91" s="90" t="str">
        <f>IF(OR(N91="Х",N91="св")," ",IF(AND(O91&gt;=0,O91&lt;3),"1"," "))</f>
        <v>1</v>
      </c>
      <c r="AM91" s="90" t="str">
        <f>IF(OR(P91="Х",P91="св")," ",IF(AND(Q91&gt;=0,Q91&lt;3),"1"," "))</f>
        <v>1</v>
      </c>
      <c r="AN91" s="90" t="str">
        <f>IF(OR(R91="Х",R91="св")," ",IF(AND(S91&gt;=0,S91&lt;3),"1"," "))</f>
        <v>1</v>
      </c>
      <c r="AO91" s="90" t="str">
        <f>IF(OR(T91="Х",T91="св")," ",IF(AND(U91&gt;=0,U91&lt;3),"1"," "))</f>
        <v>1</v>
      </c>
      <c r="AP91" s="90">
        <f>COUNTIF(AH91:AO92,1)</f>
        <v>8</v>
      </c>
      <c r="AQ91" s="90">
        <f>AG91-AC91</f>
        <v>80</v>
      </c>
      <c r="AR91" s="144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0" t="str">
        <f>COUNTIF(AG$6:AG$134,"&gt;"&amp;AG$6:AG$134)+1&amp;REPT("-"&amp;COUNTIF(AG$6:AG$134,"&gt;="&amp;AG$6:AG$134),COUNTIF(AG$6:AG$134,AG91)&gt;1)</f>
        <v>25-64</v>
      </c>
      <c r="AT91" s="143" t="str">
        <f t="shared" ref="AT91:AW91" si="48">COUNTIF(AU$6:AU$134,"&gt;"&amp;AU$6:AU$134)+1&amp;REPT("-"&amp;COUNTIF(AU$6:AU$134,"&gt;="&amp;AU$6:AU$134),COUNTIF(AU$6:AU$134,AU91)&gt;1)</f>
        <v>1-64</v>
      </c>
      <c r="AU91" s="143" t="str">
        <f t="shared" si="48"/>
        <v>1-0</v>
      </c>
      <c r="AV91" s="143" t="str">
        <f t="shared" si="48"/>
        <v>1</v>
      </c>
      <c r="AW91" s="143" t="str">
        <f t="shared" si="48"/>
        <v>22</v>
      </c>
      <c r="AX91" s="145">
        <f>IF(X91="Х","Х",IF(Y91&lt;3,B91,"Х"))</f>
        <v>43</v>
      </c>
      <c r="AY91" s="146"/>
      <c r="AZ91" s="146"/>
      <c r="BA91" s="146"/>
      <c r="BB91" s="146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195">
        <v>43.0</v>
      </c>
      <c r="BN91" s="196"/>
      <c r="BO91" s="153" t="str">
        <f>IF(BM91&lt;BN91,BM91,"")</f>
        <v/>
      </c>
      <c r="BP91" s="196" t="s">
        <v>195</v>
      </c>
      <c r="BQ91" s="197"/>
      <c r="BR91" s="198" t="s">
        <v>195</v>
      </c>
      <c r="BS91" s="196"/>
      <c r="BT91" s="175" t="str">
        <f>IF(BR91&lt;BS91,BR91,"")</f>
        <v/>
      </c>
      <c r="BU91" s="196" t="s">
        <v>195</v>
      </c>
      <c r="BV91" s="196"/>
      <c r="BW91" s="199">
        <v>43.0</v>
      </c>
      <c r="BX91" s="74" t="s">
        <v>194</v>
      </c>
      <c r="BY91" s="160">
        <f t="array" ref="BY91">IF(BW91&lt;BX91,BW91,"")</f>
        <v>43</v>
      </c>
      <c r="BZ91" s="160">
        <f t="shared" si="17"/>
        <v>43</v>
      </c>
      <c r="CA91" s="74"/>
      <c r="CB91" s="74" t="str">
        <f t="shared" si="18"/>
        <v>св</v>
      </c>
      <c r="CC91" s="200"/>
      <c r="CD91" s="243"/>
      <c r="CE91" s="200">
        <v>43.0</v>
      </c>
      <c r="CF91" s="25" t="s">
        <v>194</v>
      </c>
      <c r="CG91" s="153">
        <f t="array" ref="CG91">IF(CE91&lt;CF91,CE91,"")</f>
        <v>43</v>
      </c>
      <c r="CH91" s="74">
        <v>43.0</v>
      </c>
      <c r="CI91" s="182"/>
      <c r="CJ91" s="93">
        <v>43.0</v>
      </c>
      <c r="CK91" s="233" t="s">
        <v>194</v>
      </c>
      <c r="CL91" s="153">
        <f t="array" ref="CL91">IF(CJ91&lt;CK91,CJ91,"")</f>
        <v>43</v>
      </c>
      <c r="CM91" s="49">
        <v>43.0</v>
      </c>
      <c r="CN91" s="49"/>
      <c r="CO91" s="74">
        <v>43.0</v>
      </c>
      <c r="CP91" s="200" t="s">
        <v>194</v>
      </c>
      <c r="CQ91" s="153">
        <f t="array" ref="CQ91">IF(CO91&lt;CP91,CO91,"")</f>
        <v>43</v>
      </c>
      <c r="CR91" s="93">
        <v>43.0</v>
      </c>
      <c r="CS91" s="234"/>
      <c r="CT91" s="200">
        <v>43.0</v>
      </c>
      <c r="CU91" s="74" t="s">
        <v>194</v>
      </c>
      <c r="CV91" s="153">
        <f t="array" ref="CV91">IF(CT91&lt;CU91,CT91,"")</f>
        <v>43</v>
      </c>
      <c r="CW91" s="49">
        <v>43.0</v>
      </c>
      <c r="CX91" s="49"/>
      <c r="CY91" s="49">
        <v>43.0</v>
      </c>
      <c r="CZ91" s="49" t="s">
        <v>194</v>
      </c>
      <c r="DA91" s="153">
        <f t="array" ref="DA91">IF(CY91&lt;CZ91,CY91,"")</f>
        <v>43</v>
      </c>
      <c r="DB91" s="49">
        <v>43.0</v>
      </c>
      <c r="DC91" s="49"/>
      <c r="DD91" s="49">
        <v>43.0</v>
      </c>
      <c r="DE91" s="49"/>
      <c r="DF91" s="49"/>
      <c r="DG91" s="49"/>
      <c r="DH91" s="49"/>
    </row>
    <row r="92" ht="13.5" hidden="1" customHeight="1">
      <c r="A92" s="54"/>
      <c r="B92" s="165"/>
      <c r="C92" s="165"/>
      <c r="D92" s="165"/>
      <c r="E92" s="165"/>
      <c r="F92" s="166"/>
      <c r="G92" s="167"/>
      <c r="H92" s="168"/>
      <c r="I92" s="167"/>
      <c r="J92" s="168"/>
      <c r="K92" s="167"/>
      <c r="L92" s="168"/>
      <c r="M92" s="167"/>
      <c r="N92" s="168"/>
      <c r="O92" s="167"/>
      <c r="P92" s="168"/>
      <c r="Q92" s="167"/>
      <c r="R92" s="168"/>
      <c r="S92" s="167"/>
      <c r="T92" s="168"/>
      <c r="U92" s="169"/>
      <c r="V92" s="168"/>
      <c r="W92" s="169"/>
      <c r="X92" s="168"/>
      <c r="Y92" s="167"/>
      <c r="Z92" s="168"/>
      <c r="AA92" s="167"/>
      <c r="AB92" s="166"/>
      <c r="AC92" s="165"/>
      <c r="AD92" s="168"/>
      <c r="AE92" s="170"/>
      <c r="AF92" s="171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Y92" s="146"/>
      <c r="AZ92" s="146"/>
      <c r="BA92" s="146"/>
      <c r="BB92" s="146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178"/>
      <c r="BO92" s="175" t="str">
        <f>IF(BO91="","",BN91)</f>
        <v/>
      </c>
      <c r="BP92" s="175" t="s">
        <v>195</v>
      </c>
      <c r="BQ92" s="197"/>
      <c r="BT92" s="175" t="str">
        <f>IF(BT91="","",BS91)</f>
        <v/>
      </c>
      <c r="BU92" s="175" t="s">
        <v>195</v>
      </c>
      <c r="BV92" s="196"/>
      <c r="BW92" s="178"/>
      <c r="BY92" s="160" t="str">
        <f>IF(BY91="","",BX91)</f>
        <v> </v>
      </c>
      <c r="BZ92" s="160" t="str">
        <f t="shared" si="17"/>
        <v> </v>
      </c>
      <c r="CA92" s="200"/>
      <c r="CB92" s="74" t="str">
        <f t="shared" si="18"/>
        <v>св</v>
      </c>
      <c r="CC92" s="200"/>
      <c r="CD92" s="243"/>
      <c r="CG92" s="180" t="str">
        <f>IF(CG91="","",CF91)</f>
        <v> </v>
      </c>
      <c r="CH92" s="200" t="s">
        <v>194</v>
      </c>
      <c r="CI92" s="182"/>
      <c r="CJ92" s="49" t="s">
        <v>195</v>
      </c>
      <c r="CK92" s="235"/>
      <c r="CL92" s="180" t="str">
        <f>IF(CL91="","",CK91)</f>
        <v> </v>
      </c>
      <c r="CM92" s="49" t="s">
        <v>194</v>
      </c>
      <c r="CN92" s="49"/>
      <c r="CQ92" s="180" t="str">
        <f>IF(CQ91="","",CP91)</f>
        <v> </v>
      </c>
      <c r="CR92" s="49" t="s">
        <v>194</v>
      </c>
      <c r="CS92" s="234"/>
      <c r="CV92" s="180" t="str">
        <f>IF(CV91="","",CU91)</f>
        <v> </v>
      </c>
      <c r="CW92" s="49" t="s">
        <v>194</v>
      </c>
      <c r="CX92" s="49"/>
      <c r="CY92" s="49" t="s">
        <v>195</v>
      </c>
      <c r="CZ92" s="49"/>
      <c r="DA92" s="180" t="str">
        <f>IF(DA91="","",CZ91)</f>
        <v> </v>
      </c>
      <c r="DB92" s="49" t="s">
        <v>194</v>
      </c>
      <c r="DC92" s="49"/>
      <c r="DD92" s="49" t="s">
        <v>195</v>
      </c>
      <c r="DE92" s="49"/>
      <c r="DF92" s="49"/>
      <c r="DG92" s="49"/>
      <c r="DH92" s="49"/>
    </row>
    <row r="93" ht="13.5" hidden="1" customHeight="1">
      <c r="A93" s="54"/>
      <c r="B93" s="187">
        <v>44.0</v>
      </c>
      <c r="C93" s="188" t="str">
        <f>(VLOOKUP($B93,'Пр.взв'!$D$6:$J$63,2,0))</f>
        <v>#N/A</v>
      </c>
      <c r="D93" s="189" t="str">
        <f>(VLOOKUP($B93,'Пр.взв'!$D$6:$J$63,5,0))</f>
        <v>#N/A</v>
      </c>
      <c r="E93" s="190" t="str">
        <f>(VLOOKUP($B93,'Пр.взв'!$D$6:$M$63,8,0))</f>
        <v>#N/A</v>
      </c>
      <c r="F93" s="130"/>
      <c r="G93" s="134"/>
      <c r="H93" s="132"/>
      <c r="I93" s="134"/>
      <c r="J93" s="133" t="str">
        <f>IF(H93="Х","Х",IF($AC93&lt;6," ","Х"))</f>
        <v> </v>
      </c>
      <c r="K93" s="134"/>
      <c r="L93" s="133" t="str">
        <f>IF(J93="Х","Х",IF(K93&lt;3," ",IF($AC93&lt;6," ","Х")))</f>
        <v> </v>
      </c>
      <c r="M93" s="134"/>
      <c r="N93" s="133" t="str">
        <f>IF(L93="Х","Х",IF(M93&lt;3," ",IF($AC93&lt;6," ","Х")))</f>
        <v> </v>
      </c>
      <c r="O93" s="134"/>
      <c r="P93" s="133" t="str">
        <f>IF(N93="Х","Х",IF(O93&lt;3," ",IF($AC93&lt;6," ","Х")))</f>
        <v> </v>
      </c>
      <c r="Q93" s="134"/>
      <c r="R93" s="133" t="str">
        <f>IF(P93="Х","Х",IF(Q93&lt;3," ",IF($AC93&lt;6," ","Х")))</f>
        <v> </v>
      </c>
      <c r="S93" s="134"/>
      <c r="T93" s="133" t="str">
        <f>IF(R93="Х","Х",IF(S93&lt;3," ",IF($AC93&lt;6," ","Х")))</f>
        <v> </v>
      </c>
      <c r="U93" s="135"/>
      <c r="V93" s="133" t="str">
        <f>IF(T93="Х","Х",IF(U93&lt;3," ",IF($AC93&lt;6," ","Х")))</f>
        <v> </v>
      </c>
      <c r="W93" s="135"/>
      <c r="X93" s="133" t="str">
        <f>IF(V93="А1",$AZ$7,IF(V93="Б2",$AZ$6,IF(V93="Б1",$BA$7,IF(V93="А2",$BA$6,IF(V93="Х","Х",IF(V93&lt;6," "," "))))))</f>
        <v> </v>
      </c>
      <c r="Y93" s="136"/>
      <c r="Z93" s="133" t="str">
        <f>IF(V93="Х","Х",IF(ISBLANK(Y93),"",IF(Y93&gt;2.5," ",IF(B93=BB$6,BB$7,BB$6))))</f>
        <v/>
      </c>
      <c r="AA93" s="136"/>
      <c r="AB93" s="240" t="str">
        <f>IF(H93="Х",F$5,IF(J93="Х",H$5,IF(L93="Х",J$5,IF(N93="Х",L$5,IF(P93="Х",N$5,IF(R93="Х",P$5,IF(T93="Х",R$5,IF(X93="Х",T$5,""))))))))</f>
        <v/>
      </c>
      <c r="AC93" s="138">
        <f>SUM(G93+I93+K93+M93+O93+Q93+S93+U93+Y93+AA93)</f>
        <v>0</v>
      </c>
      <c r="AD93" s="241" t="str">
        <f>AF93</f>
        <v>25-71</v>
      </c>
      <c r="AE93" s="140" t="str">
        <f>AD93</f>
        <v>25-71</v>
      </c>
      <c r="AF93" s="141" t="str">
        <f>COUNTIF(AG$6:AG$148,"&gt;"&amp;AG$6:AG$148)+1&amp;REPT("-"&amp;COUNTIF(AG$6:AG$148,"&gt;="&amp;AG$6:AG$148),COUNTIF(AG$6:AG$148,AG93)&gt;1)</f>
        <v>25-71</v>
      </c>
      <c r="AG93" s="142">
        <f>(AR93*100)+(AP93*10)-AC93</f>
        <v>80</v>
      </c>
      <c r="AH93" s="143" t="str">
        <f>IF(OR(F93="Х",F93="св")," ",IF(AND(G93&gt;=0,G93&lt;3),"1"," "))</f>
        <v>1</v>
      </c>
      <c r="AI93" s="90" t="str">
        <f>IF(OR(H93="Х",H93="св")," ",IF(AND(I93&gt;=0,I93&lt;3),"1"," "))</f>
        <v>1</v>
      </c>
      <c r="AJ93" s="90" t="str">
        <f>IF(OR(J93="Х",J93="св")," ",IF(AND(K93&gt;=0,K93&lt;3),"1"," "))</f>
        <v>1</v>
      </c>
      <c r="AK93" s="90" t="str">
        <f>IF(OR(L93="Х",L93="св")," ",IF(AND(M93&gt;=0,M93&lt;3),"1"," "))</f>
        <v>1</v>
      </c>
      <c r="AL93" s="90" t="str">
        <f>IF(OR(N93="Х",N93="св")," ",IF(AND(O93&gt;=0,O93&lt;3),"1"," "))</f>
        <v>1</v>
      </c>
      <c r="AM93" s="90" t="str">
        <f>IF(OR(P93="Х",P93="св")," ",IF(AND(Q93&gt;=0,Q93&lt;3),"1"," "))</f>
        <v>1</v>
      </c>
      <c r="AN93" s="90" t="str">
        <f>IF(OR(R93="Х",R93="св")," ",IF(AND(S93&gt;=0,S93&lt;3),"1"," "))</f>
        <v>1</v>
      </c>
      <c r="AO93" s="90" t="str">
        <f>IF(OR(T93="Х",T93="св")," ",IF(AND(U93&gt;=0,U93&lt;3),"1"," "))</f>
        <v>1</v>
      </c>
      <c r="AP93" s="90">
        <f>COUNTIF(AH93:AO94,1)</f>
        <v>8</v>
      </c>
      <c r="AQ93" s="90">
        <f>AG93-AC93</f>
        <v>80</v>
      </c>
      <c r="AR93" s="144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0" t="str">
        <f>COUNTIF(AG$6:AG$134,"&gt;"&amp;AG$6:AG$134)+1&amp;REPT("-"&amp;COUNTIF(AG$6:AG$134,"&gt;="&amp;AG$6:AG$134),COUNTIF(AG$6:AG$134,AG93)&gt;1)</f>
        <v>25-64</v>
      </c>
      <c r="AT93" s="143" t="str">
        <f t="shared" ref="AT93:AW93" si="49">COUNTIF(AU$6:AU$134,"&gt;"&amp;AU$6:AU$134)+1&amp;REPT("-"&amp;COUNTIF(AU$6:AU$134,"&gt;="&amp;AU$6:AU$134),COUNTIF(AU$6:AU$134,AU93)&gt;1)</f>
        <v>1-64</v>
      </c>
      <c r="AU93" s="143" t="str">
        <f t="shared" si="49"/>
        <v>1-0</v>
      </c>
      <c r="AV93" s="143" t="str">
        <f t="shared" si="49"/>
        <v>1</v>
      </c>
      <c r="AW93" s="143" t="str">
        <f t="shared" si="49"/>
        <v>21</v>
      </c>
      <c r="AX93" s="145">
        <f>IF(X93="Х","Х",IF(Y93&lt;3,B93,"Х"))</f>
        <v>44</v>
      </c>
      <c r="AY93" s="146"/>
      <c r="AZ93" s="146"/>
      <c r="BA93" s="146"/>
      <c r="BB93" s="146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195">
        <v>44.0</v>
      </c>
      <c r="BN93" s="196"/>
      <c r="BO93" s="153" t="str">
        <f>IF(BM93&lt;BN93,BM93,"")</f>
        <v/>
      </c>
      <c r="BP93" s="196" t="s">
        <v>195</v>
      </c>
      <c r="BQ93" s="197"/>
      <c r="BR93" s="198" t="s">
        <v>195</v>
      </c>
      <c r="BS93" s="196"/>
      <c r="BT93" s="175" t="str">
        <f>IF(BR93&lt;BS93,BR93,"")</f>
        <v/>
      </c>
      <c r="BU93" s="196" t="s">
        <v>195</v>
      </c>
      <c r="BV93" s="196"/>
      <c r="BW93" s="199">
        <v>44.0</v>
      </c>
      <c r="BX93" s="74" t="s">
        <v>194</v>
      </c>
      <c r="BY93" s="160">
        <f t="array" ref="BY93">IF(BW93&lt;BX93,BW93,"")</f>
        <v>44</v>
      </c>
      <c r="BZ93" s="160">
        <f t="shared" si="17"/>
        <v>44</v>
      </c>
      <c r="CA93" s="74"/>
      <c r="CB93" s="74" t="str">
        <f t="shared" si="18"/>
        <v>св</v>
      </c>
      <c r="CC93" s="200"/>
      <c r="CD93" s="243"/>
      <c r="CE93" s="200">
        <v>44.0</v>
      </c>
      <c r="CF93" s="25" t="s">
        <v>194</v>
      </c>
      <c r="CG93" s="153">
        <f t="array" ref="CG93">IF(CE93&lt;CF93,CE93,"")</f>
        <v>44</v>
      </c>
      <c r="CH93" s="74">
        <v>44.0</v>
      </c>
      <c r="CI93" s="182"/>
      <c r="CJ93" s="93">
        <v>44.0</v>
      </c>
      <c r="CK93" s="233" t="s">
        <v>194</v>
      </c>
      <c r="CL93" s="153">
        <f t="array" ref="CL93">IF(CJ93&lt;CK93,CJ93,"")</f>
        <v>44</v>
      </c>
      <c r="CM93" s="49">
        <v>44.0</v>
      </c>
      <c r="CN93" s="49"/>
      <c r="CO93" s="74">
        <v>44.0</v>
      </c>
      <c r="CP93" s="200" t="s">
        <v>194</v>
      </c>
      <c r="CQ93" s="153">
        <f t="array" ref="CQ93">IF(CO93&lt;CP93,CO93,"")</f>
        <v>44</v>
      </c>
      <c r="CR93" s="93">
        <v>44.0</v>
      </c>
      <c r="CS93" s="234"/>
      <c r="CT93" s="200">
        <v>44.0</v>
      </c>
      <c r="CU93" s="74" t="s">
        <v>194</v>
      </c>
      <c r="CV93" s="153">
        <f t="array" ref="CV93">IF(CT93&lt;CU93,CT93,"")</f>
        <v>44</v>
      </c>
      <c r="CW93" s="49">
        <v>44.0</v>
      </c>
      <c r="CX93" s="49"/>
      <c r="CY93" s="49">
        <v>44.0</v>
      </c>
      <c r="CZ93" s="49" t="s">
        <v>194</v>
      </c>
      <c r="DA93" s="153">
        <f t="array" ref="DA93">IF(CY93&lt;CZ93,CY93,"")</f>
        <v>44</v>
      </c>
      <c r="DB93" s="49">
        <v>44.0</v>
      </c>
      <c r="DC93" s="49"/>
      <c r="DD93" s="49">
        <v>44.0</v>
      </c>
      <c r="DE93" s="49"/>
      <c r="DF93" s="49"/>
      <c r="DG93" s="49"/>
      <c r="DH93" s="49"/>
    </row>
    <row r="94" ht="13.5" hidden="1" customHeight="1">
      <c r="A94" s="54"/>
      <c r="B94" s="165"/>
      <c r="C94" s="165"/>
      <c r="D94" s="165"/>
      <c r="E94" s="165"/>
      <c r="F94" s="166"/>
      <c r="G94" s="167"/>
      <c r="H94" s="168"/>
      <c r="I94" s="167"/>
      <c r="J94" s="168"/>
      <c r="K94" s="167"/>
      <c r="L94" s="168"/>
      <c r="M94" s="167"/>
      <c r="N94" s="168"/>
      <c r="O94" s="167"/>
      <c r="P94" s="168"/>
      <c r="Q94" s="167"/>
      <c r="R94" s="168"/>
      <c r="S94" s="167"/>
      <c r="T94" s="168"/>
      <c r="U94" s="169"/>
      <c r="V94" s="168"/>
      <c r="W94" s="169"/>
      <c r="X94" s="168"/>
      <c r="Y94" s="167"/>
      <c r="Z94" s="168"/>
      <c r="AA94" s="167"/>
      <c r="AB94" s="166"/>
      <c r="AC94" s="165"/>
      <c r="AD94" s="168"/>
      <c r="AE94" s="170"/>
      <c r="AF94" s="171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Y94" s="146"/>
      <c r="AZ94" s="146"/>
      <c r="BA94" s="146"/>
      <c r="BB94" s="146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178"/>
      <c r="BO94" s="175" t="str">
        <f>IF(BO93="","",BN93)</f>
        <v/>
      </c>
      <c r="BP94" s="175" t="s">
        <v>195</v>
      </c>
      <c r="BQ94" s="197"/>
      <c r="BT94" s="175" t="str">
        <f>IF(BT93="","",BS93)</f>
        <v/>
      </c>
      <c r="BU94" s="175" t="s">
        <v>195</v>
      </c>
      <c r="BV94" s="196"/>
      <c r="BW94" s="178"/>
      <c r="BY94" s="160" t="str">
        <f>IF(BY93="","",BX93)</f>
        <v> </v>
      </c>
      <c r="BZ94" s="160" t="str">
        <f t="shared" si="17"/>
        <v> </v>
      </c>
      <c r="CA94" s="200"/>
      <c r="CB94" s="74" t="str">
        <f t="shared" si="18"/>
        <v>св</v>
      </c>
      <c r="CC94" s="200"/>
      <c r="CD94" s="243"/>
      <c r="CG94" s="180" t="str">
        <f>IF(CG93="","",CF93)</f>
        <v> </v>
      </c>
      <c r="CH94" s="200" t="s">
        <v>194</v>
      </c>
      <c r="CI94" s="182"/>
      <c r="CJ94" s="49" t="s">
        <v>195</v>
      </c>
      <c r="CK94" s="235"/>
      <c r="CL94" s="180" t="str">
        <f>IF(CL93="","",CK93)</f>
        <v> </v>
      </c>
      <c r="CM94" s="49" t="s">
        <v>194</v>
      </c>
      <c r="CN94" s="49"/>
      <c r="CQ94" s="180" t="str">
        <f>IF(CQ93="","",CP93)</f>
        <v> </v>
      </c>
      <c r="CR94" s="49" t="s">
        <v>194</v>
      </c>
      <c r="CS94" s="234"/>
      <c r="CV94" s="180" t="str">
        <f>IF(CV93="","",CU93)</f>
        <v> </v>
      </c>
      <c r="CW94" s="49" t="s">
        <v>194</v>
      </c>
      <c r="CX94" s="49"/>
      <c r="CY94" s="49" t="s">
        <v>195</v>
      </c>
      <c r="CZ94" s="49"/>
      <c r="DA94" s="180" t="str">
        <f>IF(DA93="","",CZ93)</f>
        <v> </v>
      </c>
      <c r="DB94" s="49" t="s">
        <v>194</v>
      </c>
      <c r="DC94" s="49"/>
      <c r="DD94" s="49" t="s">
        <v>195</v>
      </c>
      <c r="DE94" s="49"/>
      <c r="DF94" s="49"/>
      <c r="DG94" s="49"/>
      <c r="DH94" s="49"/>
    </row>
    <row r="95" ht="13.5" hidden="1" customHeight="1">
      <c r="A95" s="54"/>
      <c r="B95" s="187">
        <v>45.0</v>
      </c>
      <c r="C95" s="188" t="str">
        <f>(VLOOKUP($B95,'Пр.взв'!$D$6:$J$63,2,0))</f>
        <v>#N/A</v>
      </c>
      <c r="D95" s="189" t="str">
        <f>(VLOOKUP($B95,'Пр.взв'!$D$6:$J$63,5,0))</f>
        <v>#N/A</v>
      </c>
      <c r="E95" s="190" t="str">
        <f>(VLOOKUP($B95,'Пр.взв'!$D$6:$M$63,8,0))</f>
        <v>#N/A</v>
      </c>
      <c r="F95" s="130"/>
      <c r="G95" s="255"/>
      <c r="H95" s="132"/>
      <c r="I95" s="255"/>
      <c r="J95" s="133" t="str">
        <f>IF(H95="Х","Х",IF($AC95&lt;6," ","Х"))</f>
        <v> </v>
      </c>
      <c r="K95" s="134"/>
      <c r="L95" s="133" t="str">
        <f>IF(J95="Х","Х",IF(K95&lt;3," ",IF($AC95&lt;6," ","Х")))</f>
        <v> </v>
      </c>
      <c r="M95" s="134"/>
      <c r="N95" s="133" t="str">
        <f>IF(L95="Х","Х",IF(M95&lt;3," ",IF($AC95&lt;6," ","Х")))</f>
        <v> </v>
      </c>
      <c r="O95" s="134"/>
      <c r="P95" s="133" t="str">
        <f>IF(N95="Х","Х",IF(O95&lt;3," ",IF($AC95&lt;6," ","Х")))</f>
        <v> </v>
      </c>
      <c r="Q95" s="134"/>
      <c r="R95" s="133" t="str">
        <f>IF(P95="Х","Х",IF(Q95&lt;3," ",IF($AC95&lt;6," ","Х")))</f>
        <v> </v>
      </c>
      <c r="S95" s="134"/>
      <c r="T95" s="133" t="str">
        <f>IF(R95="Х","Х",IF(S95&lt;3," ",IF($AC95&lt;6," ","Х")))</f>
        <v> </v>
      </c>
      <c r="U95" s="135"/>
      <c r="V95" s="133" t="str">
        <f>IF(T95="Х","Х",IF(U95&lt;3," ",IF($AC95&lt;6," ","Х")))</f>
        <v> </v>
      </c>
      <c r="W95" s="135"/>
      <c r="X95" s="133" t="str">
        <f>IF(V95="А1",$AZ$7,IF(V95="Б2",$AZ$6,IF(V95="Б1",$BA$7,IF(V95="А2",$BA$6,IF(V95="Х","Х",IF(V95&lt;6," "," "))))))</f>
        <v> </v>
      </c>
      <c r="Y95" s="136"/>
      <c r="Z95" s="133" t="str">
        <f>IF(V95="Х","Х",IF(ISBLANK(Y95),"",IF(Y95&gt;2.5," ",IF(B95=BB$6,BB$7,BB$6))))</f>
        <v/>
      </c>
      <c r="AA95" s="136"/>
      <c r="AB95" s="240" t="str">
        <f>IF(H95="Х",F$5,IF(J95="Х",H$5,IF(L95="Х",J$5,IF(N95="Х",L$5,IF(P95="Х",N$5,IF(R95="Х",P$5,IF(T95="Х",R$5,IF(X95="Х",T$5,""))))))))</f>
        <v/>
      </c>
      <c r="AC95" s="138">
        <f>SUM(G95+I95+K95+M95+O95+Q95+S95+U95+Y95+AA95)</f>
        <v>0</v>
      </c>
      <c r="AD95" s="241" t="str">
        <f>AF95</f>
        <v>25-71</v>
      </c>
      <c r="AE95" s="140" t="str">
        <f>AD95</f>
        <v>25-71</v>
      </c>
      <c r="AF95" s="141" t="str">
        <f>COUNTIF(AG$6:AG$148,"&gt;"&amp;AG$6:AG$148)+1&amp;REPT("-"&amp;COUNTIF(AG$6:AG$148,"&gt;="&amp;AG$6:AG$148),COUNTIF(AG$6:AG$148,AG95)&gt;1)</f>
        <v>25-71</v>
      </c>
      <c r="AG95" s="142">
        <f>(AR95*100)+(AP95*10)-AC95</f>
        <v>80</v>
      </c>
      <c r="AH95" s="143" t="str">
        <f>IF(OR(F95="Х",F95="св")," ",IF(AND(G95&gt;=0,G95&lt;3),"1"," "))</f>
        <v>1</v>
      </c>
      <c r="AI95" s="90" t="str">
        <f>IF(OR(H95="Х",H95="св")," ",IF(AND(I95&gt;=0,I95&lt;3),"1"," "))</f>
        <v>1</v>
      </c>
      <c r="AJ95" s="90" t="str">
        <f>IF(OR(J95="Х",J95="св")," ",IF(AND(K95&gt;=0,K95&lt;3),"1"," "))</f>
        <v>1</v>
      </c>
      <c r="AK95" s="90" t="str">
        <f>IF(OR(L95="Х",L95="св")," ",IF(AND(M95&gt;=0,M95&lt;3),"1"," "))</f>
        <v>1</v>
      </c>
      <c r="AL95" s="90" t="str">
        <f>IF(OR(N95="Х",N95="св")," ",IF(AND(O95&gt;=0,O95&lt;3),"1"," "))</f>
        <v>1</v>
      </c>
      <c r="AM95" s="90" t="str">
        <f>IF(OR(P95="Х",P95="св")," ",IF(AND(Q95&gt;=0,Q95&lt;3),"1"," "))</f>
        <v>1</v>
      </c>
      <c r="AN95" s="90" t="str">
        <f>IF(OR(R95="Х",R95="св")," ",IF(AND(S95&gt;=0,S95&lt;3),"1"," "))</f>
        <v>1</v>
      </c>
      <c r="AO95" s="90" t="str">
        <f>IF(OR(T95="Х",T95="св")," ",IF(AND(U95&gt;=0,U95&lt;3),"1"," "))</f>
        <v>1</v>
      </c>
      <c r="AP95" s="90">
        <f>COUNTIF(AH95:AO96,1)</f>
        <v>8</v>
      </c>
      <c r="AQ95" s="90">
        <f>AG95-AC95</f>
        <v>80</v>
      </c>
      <c r="AR95" s="144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0" t="str">
        <f>COUNTIF(AG$6:AG$134,"&gt;"&amp;AG$6:AG$134)+1&amp;REPT("-"&amp;COUNTIF(AG$6:AG$134,"&gt;="&amp;AG$6:AG$134),COUNTIF(AG$6:AG$134,AG95)&gt;1)</f>
        <v>25-64</v>
      </c>
      <c r="AT95" s="143" t="str">
        <f t="shared" ref="AT95:AW95" si="50">COUNTIF(AU$6:AU$134,"&gt;"&amp;AU$6:AU$134)+1&amp;REPT("-"&amp;COUNTIF(AU$6:AU$134,"&gt;="&amp;AU$6:AU$134),COUNTIF(AU$6:AU$134,AU95)&gt;1)</f>
        <v>1-64</v>
      </c>
      <c r="AU95" s="143" t="str">
        <f t="shared" si="50"/>
        <v>1-0</v>
      </c>
      <c r="AV95" s="143" t="str">
        <f t="shared" si="50"/>
        <v>1</v>
      </c>
      <c r="AW95" s="143" t="str">
        <f t="shared" si="50"/>
        <v>20</v>
      </c>
      <c r="AX95" s="145">
        <f>IF(X95="Х","Х",IF(Y95&lt;3,B95,"Х"))</f>
        <v>45</v>
      </c>
      <c r="AY95" s="146"/>
      <c r="AZ95" s="146"/>
      <c r="BA95" s="146"/>
      <c r="BB95" s="146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195">
        <v>45.0</v>
      </c>
      <c r="BN95" s="196"/>
      <c r="BO95" s="153" t="str">
        <f>IF(BM95&lt;BN95,BM95,"")</f>
        <v/>
      </c>
      <c r="BP95" s="196" t="s">
        <v>195</v>
      </c>
      <c r="BQ95" s="197"/>
      <c r="BR95" s="198" t="s">
        <v>195</v>
      </c>
      <c r="BS95" s="196"/>
      <c r="BT95" s="175" t="str">
        <f>IF(BR95&lt;BS95,BR95,"")</f>
        <v/>
      </c>
      <c r="BU95" s="196" t="s">
        <v>195</v>
      </c>
      <c r="BV95" s="196"/>
      <c r="BW95" s="199">
        <v>45.0</v>
      </c>
      <c r="BX95" s="74" t="s">
        <v>194</v>
      </c>
      <c r="BY95" s="160">
        <f t="array" ref="BY95">IF(BW95&lt;BX95,BW95,"")</f>
        <v>45</v>
      </c>
      <c r="BZ95" s="160">
        <f t="shared" si="17"/>
        <v>45</v>
      </c>
      <c r="CA95" s="74"/>
      <c r="CB95" s="74" t="str">
        <f t="shared" si="18"/>
        <v>св</v>
      </c>
      <c r="CC95" s="200"/>
      <c r="CD95" s="243"/>
      <c r="CE95" s="200">
        <v>45.0</v>
      </c>
      <c r="CF95" s="25" t="s">
        <v>194</v>
      </c>
      <c r="CG95" s="153">
        <f t="array" ref="CG95">IF(CE95&lt;CF95,CE95,"")</f>
        <v>45</v>
      </c>
      <c r="CH95" s="74">
        <v>45.0</v>
      </c>
      <c r="CI95" s="182"/>
      <c r="CJ95" s="93">
        <v>45.0</v>
      </c>
      <c r="CK95" s="233" t="s">
        <v>194</v>
      </c>
      <c r="CL95" s="153">
        <f t="array" ref="CL95">IF(CJ95&lt;CK95,CJ95,"")</f>
        <v>45</v>
      </c>
      <c r="CM95" s="49">
        <v>45.0</v>
      </c>
      <c r="CN95" s="49"/>
      <c r="CO95" s="74">
        <v>45.0</v>
      </c>
      <c r="CP95" s="200" t="s">
        <v>194</v>
      </c>
      <c r="CQ95" s="153">
        <f t="array" ref="CQ95">IF(CO95&lt;CP95,CO95,"")</f>
        <v>45</v>
      </c>
      <c r="CR95" s="93">
        <v>45.0</v>
      </c>
      <c r="CS95" s="234"/>
      <c r="CT95" s="200">
        <v>45.0</v>
      </c>
      <c r="CU95" s="74" t="s">
        <v>194</v>
      </c>
      <c r="CV95" s="153">
        <f t="array" ref="CV95">IF(CT95&lt;CU95,CT95,"")</f>
        <v>45</v>
      </c>
      <c r="CW95" s="49">
        <v>45.0</v>
      </c>
      <c r="CX95" s="49"/>
      <c r="CY95" s="49">
        <v>45.0</v>
      </c>
      <c r="CZ95" s="49" t="s">
        <v>194</v>
      </c>
      <c r="DA95" s="153">
        <f t="array" ref="DA95">IF(CY95&lt;CZ95,CY95,"")</f>
        <v>45</v>
      </c>
      <c r="DB95" s="49">
        <v>45.0</v>
      </c>
      <c r="DC95" s="49"/>
      <c r="DD95" s="49">
        <v>45.0</v>
      </c>
      <c r="DE95" s="49"/>
      <c r="DF95" s="49"/>
      <c r="DG95" s="49"/>
      <c r="DH95" s="49"/>
    </row>
    <row r="96" ht="13.5" hidden="1" customHeight="1">
      <c r="A96" s="54"/>
      <c r="B96" s="165"/>
      <c r="C96" s="165"/>
      <c r="D96" s="165"/>
      <c r="E96" s="165"/>
      <c r="F96" s="166"/>
      <c r="G96" s="167"/>
      <c r="H96" s="168"/>
      <c r="I96" s="167"/>
      <c r="J96" s="168"/>
      <c r="K96" s="167"/>
      <c r="L96" s="168"/>
      <c r="M96" s="167"/>
      <c r="N96" s="168"/>
      <c r="O96" s="167"/>
      <c r="P96" s="168"/>
      <c r="Q96" s="167"/>
      <c r="R96" s="168"/>
      <c r="S96" s="167"/>
      <c r="T96" s="168"/>
      <c r="U96" s="169"/>
      <c r="V96" s="168"/>
      <c r="W96" s="169"/>
      <c r="X96" s="168"/>
      <c r="Y96" s="167"/>
      <c r="Z96" s="168"/>
      <c r="AA96" s="167"/>
      <c r="AB96" s="166"/>
      <c r="AC96" s="165"/>
      <c r="AD96" s="168"/>
      <c r="AE96" s="170"/>
      <c r="AF96" s="171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Y96" s="146"/>
      <c r="AZ96" s="146"/>
      <c r="BA96" s="146"/>
      <c r="BB96" s="146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178"/>
      <c r="BO96" s="175" t="str">
        <f>IF(BO95="","",BN95)</f>
        <v/>
      </c>
      <c r="BP96" s="175" t="s">
        <v>195</v>
      </c>
      <c r="BQ96" s="197"/>
      <c r="BT96" s="175" t="str">
        <f>IF(BT95="","",BS95)</f>
        <v/>
      </c>
      <c r="BU96" s="175" t="s">
        <v>195</v>
      </c>
      <c r="BV96" s="196"/>
      <c r="BW96" s="178"/>
      <c r="BY96" s="160" t="str">
        <f>IF(BY95="","",BX95)</f>
        <v> </v>
      </c>
      <c r="BZ96" s="160" t="str">
        <f t="shared" si="17"/>
        <v> </v>
      </c>
      <c r="CA96" s="200"/>
      <c r="CB96" s="74" t="str">
        <f t="shared" si="18"/>
        <v>св</v>
      </c>
      <c r="CC96" s="200"/>
      <c r="CD96" s="243"/>
      <c r="CG96" s="180" t="str">
        <f>IF(CG95="","",CF95)</f>
        <v> </v>
      </c>
      <c r="CH96" s="200" t="s">
        <v>194</v>
      </c>
      <c r="CI96" s="182"/>
      <c r="CJ96" s="49" t="s">
        <v>195</v>
      </c>
      <c r="CK96" s="235"/>
      <c r="CL96" s="180" t="str">
        <f>IF(CL95="","",CK95)</f>
        <v> </v>
      </c>
      <c r="CM96" s="49" t="s">
        <v>194</v>
      </c>
      <c r="CN96" s="49"/>
      <c r="CQ96" s="180" t="str">
        <f>IF(CQ95="","",CP95)</f>
        <v> </v>
      </c>
      <c r="CR96" s="49" t="s">
        <v>194</v>
      </c>
      <c r="CS96" s="234"/>
      <c r="CV96" s="180" t="str">
        <f>IF(CV95="","",CU95)</f>
        <v> </v>
      </c>
      <c r="CW96" s="49" t="s">
        <v>194</v>
      </c>
      <c r="CX96" s="49"/>
      <c r="CY96" s="49" t="s">
        <v>195</v>
      </c>
      <c r="CZ96" s="49"/>
      <c r="DA96" s="180" t="str">
        <f>IF(DA95="","",CZ95)</f>
        <v> </v>
      </c>
      <c r="DB96" s="49" t="s">
        <v>194</v>
      </c>
      <c r="DC96" s="49"/>
      <c r="DD96" s="49" t="s">
        <v>195</v>
      </c>
      <c r="DE96" s="49"/>
      <c r="DF96" s="49"/>
      <c r="DG96" s="49"/>
      <c r="DH96" s="49"/>
    </row>
    <row r="97" ht="13.5" hidden="1" customHeight="1">
      <c r="A97" s="54"/>
      <c r="B97" s="187">
        <v>46.0</v>
      </c>
      <c r="C97" s="188" t="str">
        <f>(VLOOKUP($B97,'Пр.взв'!$D$6:$J$63,2,0))</f>
        <v>#N/A</v>
      </c>
      <c r="D97" s="189" t="str">
        <f>(VLOOKUP($B97,'Пр.взв'!$D$6:$J$63,5,0))</f>
        <v>#N/A</v>
      </c>
      <c r="E97" s="190" t="str">
        <f>(VLOOKUP($B97,'Пр.взв'!$D$6:$M$63,8,0))</f>
        <v>#N/A</v>
      </c>
      <c r="F97" s="130"/>
      <c r="G97" s="134"/>
      <c r="H97" s="132"/>
      <c r="I97" s="136"/>
      <c r="J97" s="133" t="str">
        <f>IF(H97="Х","Х",IF($AC97&lt;6," ","Х"))</f>
        <v> </v>
      </c>
      <c r="K97" s="134"/>
      <c r="L97" s="133" t="str">
        <f>IF(J97="Х","Х",IF(K97&lt;3," ",IF($AC97&lt;6," ","Х")))</f>
        <v> </v>
      </c>
      <c r="M97" s="134"/>
      <c r="N97" s="133" t="str">
        <f>IF(L97="Х","Х",IF(M97&lt;3," ",IF($AC97&lt;6," ","Х")))</f>
        <v> </v>
      </c>
      <c r="O97" s="134"/>
      <c r="P97" s="133" t="str">
        <f>IF(N97="Х","Х",IF(O97&lt;3," ",IF($AC97&lt;6," ","Х")))</f>
        <v> </v>
      </c>
      <c r="Q97" s="134"/>
      <c r="R97" s="133" t="str">
        <f>IF(P97="Х","Х",IF(Q97&lt;3," ",IF($AC97&lt;6," ","Х")))</f>
        <v> </v>
      </c>
      <c r="S97" s="134"/>
      <c r="T97" s="133" t="str">
        <f>IF(R97="Х","Х",IF(S97&lt;3," ",IF($AC97&lt;6," ","Х")))</f>
        <v> </v>
      </c>
      <c r="U97" s="135"/>
      <c r="V97" s="133" t="str">
        <f>IF(T97="Х","Х",IF(U97&lt;3," ",IF($AC97&lt;6," ","Х")))</f>
        <v> </v>
      </c>
      <c r="W97" s="135"/>
      <c r="X97" s="133" t="str">
        <f>IF(V97="А1",$AZ$7,IF(V97="Б2",$AZ$6,IF(V97="Б1",$BA$7,IF(V97="А2",$BA$6,IF(V97="Х","Х",IF(V97&lt;6," "," "))))))</f>
        <v> </v>
      </c>
      <c r="Y97" s="136"/>
      <c r="Z97" s="133" t="str">
        <f>IF(V97="Х","Х",IF(ISBLANK(Y97),"",IF(Y97&gt;2.5," ",IF(B97=BB$6,BB$7,BB$6))))</f>
        <v/>
      </c>
      <c r="AA97" s="136"/>
      <c r="AB97" s="240" t="str">
        <f>IF(H97="Х",F$5,IF(J97="Х",H$5,IF(L97="Х",J$5,IF(N97="Х",L$5,IF(P97="Х",N$5,IF(R97="Х",P$5,IF(T97="Х",R$5,IF(X97="Х",T$5,""))))))))</f>
        <v/>
      </c>
      <c r="AC97" s="138">
        <f>SUM(G97+I97+K97+M97+O97+Q97+S97+U97+Y97+AA97)</f>
        <v>0</v>
      </c>
      <c r="AD97" s="241" t="str">
        <f>AF97</f>
        <v>25-71</v>
      </c>
      <c r="AE97" s="140" t="str">
        <f>AD97</f>
        <v>25-71</v>
      </c>
      <c r="AF97" s="141" t="str">
        <f>COUNTIF(AG$6:AG$148,"&gt;"&amp;AG$6:AG$148)+1&amp;REPT("-"&amp;COUNTIF(AG$6:AG$148,"&gt;="&amp;AG$6:AG$148),COUNTIF(AG$6:AG$148,AG97)&gt;1)</f>
        <v>25-71</v>
      </c>
      <c r="AG97" s="142">
        <f>(AR97*100)+(AP97*10)-AC97</f>
        <v>80</v>
      </c>
      <c r="AH97" s="143" t="str">
        <f>IF(OR(F97="Х",F97="св")," ",IF(AND(G97&gt;=0,G97&lt;3),"1"," "))</f>
        <v>1</v>
      </c>
      <c r="AI97" s="90" t="str">
        <f>IF(OR(H97="Х",H97="св")," ",IF(AND(I97&gt;=0,I97&lt;3),"1"," "))</f>
        <v>1</v>
      </c>
      <c r="AJ97" s="90" t="str">
        <f>IF(OR(J97="Х",J97="св")," ",IF(AND(K97&gt;=0,K97&lt;3),"1"," "))</f>
        <v>1</v>
      </c>
      <c r="AK97" s="90" t="str">
        <f>IF(OR(L97="Х",L97="св")," ",IF(AND(M97&gt;=0,M97&lt;3),"1"," "))</f>
        <v>1</v>
      </c>
      <c r="AL97" s="90" t="str">
        <f>IF(OR(N97="Х",N97="св")," ",IF(AND(O97&gt;=0,O97&lt;3),"1"," "))</f>
        <v>1</v>
      </c>
      <c r="AM97" s="90" t="str">
        <f>IF(OR(P97="Х",P97="св")," ",IF(AND(Q97&gt;=0,Q97&lt;3),"1"," "))</f>
        <v>1</v>
      </c>
      <c r="AN97" s="90" t="str">
        <f>IF(OR(R97="Х",R97="св")," ",IF(AND(S97&gt;=0,S97&lt;3),"1"," "))</f>
        <v>1</v>
      </c>
      <c r="AO97" s="90" t="str">
        <f>IF(OR(T97="Х",T97="св")," ",IF(AND(U97&gt;=0,U97&lt;3),"1"," "))</f>
        <v>1</v>
      </c>
      <c r="AP97" s="90">
        <f>COUNTIF(AH97:AO98,1)</f>
        <v>8</v>
      </c>
      <c r="AQ97" s="90">
        <f>AG97-AC97</f>
        <v>80</v>
      </c>
      <c r="AR97" s="144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0" t="str">
        <f>COUNTIF(AG$6:AG$134,"&gt;"&amp;AG$6:AG$134)+1&amp;REPT("-"&amp;COUNTIF(AG$6:AG$134,"&gt;="&amp;AG$6:AG$134),COUNTIF(AG$6:AG$134,AG97)&gt;1)</f>
        <v>25-64</v>
      </c>
      <c r="AT97" s="143" t="str">
        <f t="shared" ref="AT97:AW97" si="51">COUNTIF(AU$6:AU$134,"&gt;"&amp;AU$6:AU$134)+1&amp;REPT("-"&amp;COUNTIF(AU$6:AU$134,"&gt;="&amp;AU$6:AU$134),COUNTIF(AU$6:AU$134,AU97)&gt;1)</f>
        <v>1-64</v>
      </c>
      <c r="AU97" s="143" t="str">
        <f t="shared" si="51"/>
        <v>1-0</v>
      </c>
      <c r="AV97" s="143" t="str">
        <f t="shared" si="51"/>
        <v>1</v>
      </c>
      <c r="AW97" s="143" t="str">
        <f t="shared" si="51"/>
        <v>19</v>
      </c>
      <c r="AX97" s="145">
        <f>IF(X97="Х","Х",IF(Y97&lt;3,B97,"Х"))</f>
        <v>46</v>
      </c>
      <c r="AY97" s="146"/>
      <c r="AZ97" s="146"/>
      <c r="BA97" s="146"/>
      <c r="BB97" s="146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195">
        <v>46.0</v>
      </c>
      <c r="BN97" s="196"/>
      <c r="BO97" s="153" t="str">
        <f>IF(BM97&lt;BN97,BM97,"")</f>
        <v/>
      </c>
      <c r="BP97" s="196" t="s">
        <v>195</v>
      </c>
      <c r="BQ97" s="197"/>
      <c r="BR97" s="198" t="s">
        <v>195</v>
      </c>
      <c r="BS97" s="196"/>
      <c r="BT97" s="175" t="str">
        <f>IF(BR97&lt;BS97,BR97,"")</f>
        <v/>
      </c>
      <c r="BU97" s="196" t="s">
        <v>195</v>
      </c>
      <c r="BV97" s="196"/>
      <c r="BW97" s="199">
        <v>46.0</v>
      </c>
      <c r="BX97" s="74" t="s">
        <v>194</v>
      </c>
      <c r="BY97" s="160">
        <f t="array" ref="BY97">IF(BW97&lt;BX97,BW97,"")</f>
        <v>46</v>
      </c>
      <c r="BZ97" s="160">
        <f t="shared" si="17"/>
        <v>46</v>
      </c>
      <c r="CA97" s="74"/>
      <c r="CB97" s="74" t="str">
        <f t="shared" si="18"/>
        <v>св</v>
      </c>
      <c r="CC97" s="200"/>
      <c r="CD97" s="243"/>
      <c r="CE97" s="200">
        <v>46.0</v>
      </c>
      <c r="CF97" s="25" t="s">
        <v>194</v>
      </c>
      <c r="CG97" s="153">
        <f t="array" ref="CG97">IF(CE97&lt;CF97,CE97,"")</f>
        <v>46</v>
      </c>
      <c r="CH97" s="74">
        <v>46.0</v>
      </c>
      <c r="CI97" s="182"/>
      <c r="CJ97" s="93">
        <v>46.0</v>
      </c>
      <c r="CK97" s="233" t="s">
        <v>194</v>
      </c>
      <c r="CL97" s="153">
        <f t="array" ref="CL97">IF(CJ97&lt;CK97,CJ97,"")</f>
        <v>46</v>
      </c>
      <c r="CM97" s="49">
        <v>46.0</v>
      </c>
      <c r="CN97" s="49"/>
      <c r="CO97" s="74">
        <v>46.0</v>
      </c>
      <c r="CP97" s="200" t="s">
        <v>194</v>
      </c>
      <c r="CQ97" s="153">
        <f t="array" ref="CQ97">IF(CO97&lt;CP97,CO97,"")</f>
        <v>46</v>
      </c>
      <c r="CR97" s="93">
        <v>46.0</v>
      </c>
      <c r="CS97" s="234"/>
      <c r="CT97" s="200">
        <v>46.0</v>
      </c>
      <c r="CU97" s="74" t="s">
        <v>194</v>
      </c>
      <c r="CV97" s="153">
        <f t="array" ref="CV97">IF(CT97&lt;CU97,CT97,"")</f>
        <v>46</v>
      </c>
      <c r="CW97" s="49">
        <v>46.0</v>
      </c>
      <c r="CX97" s="49"/>
      <c r="CY97" s="49">
        <v>46.0</v>
      </c>
      <c r="CZ97" s="49" t="s">
        <v>194</v>
      </c>
      <c r="DA97" s="153">
        <f t="array" ref="DA97">IF(CY97&lt;CZ97,CY97,"")</f>
        <v>46</v>
      </c>
      <c r="DB97" s="49">
        <v>46.0</v>
      </c>
      <c r="DC97" s="49"/>
      <c r="DD97" s="49">
        <v>46.0</v>
      </c>
      <c r="DE97" s="49"/>
      <c r="DF97" s="49"/>
      <c r="DG97" s="49"/>
      <c r="DH97" s="49"/>
    </row>
    <row r="98" ht="13.5" hidden="1" customHeight="1">
      <c r="A98" s="54"/>
      <c r="B98" s="165"/>
      <c r="C98" s="165"/>
      <c r="D98" s="165"/>
      <c r="E98" s="165"/>
      <c r="F98" s="166"/>
      <c r="G98" s="167"/>
      <c r="H98" s="168"/>
      <c r="I98" s="167"/>
      <c r="J98" s="168"/>
      <c r="K98" s="167"/>
      <c r="L98" s="168"/>
      <c r="M98" s="167"/>
      <c r="N98" s="168"/>
      <c r="O98" s="167"/>
      <c r="P98" s="168"/>
      <c r="Q98" s="167"/>
      <c r="R98" s="168"/>
      <c r="S98" s="167"/>
      <c r="T98" s="168"/>
      <c r="U98" s="169"/>
      <c r="V98" s="168"/>
      <c r="W98" s="169"/>
      <c r="X98" s="168"/>
      <c r="Y98" s="167"/>
      <c r="Z98" s="168"/>
      <c r="AA98" s="167"/>
      <c r="AB98" s="166"/>
      <c r="AC98" s="165"/>
      <c r="AD98" s="168"/>
      <c r="AE98" s="170"/>
      <c r="AF98" s="171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178"/>
      <c r="BO98" s="175" t="str">
        <f>IF(BO97="","",BN97)</f>
        <v/>
      </c>
      <c r="BP98" s="175" t="s">
        <v>195</v>
      </c>
      <c r="BQ98" s="197"/>
      <c r="BT98" s="175" t="str">
        <f>IF(BT97="","",BS97)</f>
        <v/>
      </c>
      <c r="BU98" s="175" t="s">
        <v>195</v>
      </c>
      <c r="BV98" s="196"/>
      <c r="BW98" s="178"/>
      <c r="BY98" s="160" t="str">
        <f>IF(BY97="","",BX97)</f>
        <v> </v>
      </c>
      <c r="BZ98" s="160" t="str">
        <f t="shared" si="17"/>
        <v> </v>
      </c>
      <c r="CA98" s="200"/>
      <c r="CB98" s="74" t="str">
        <f t="shared" si="18"/>
        <v>св</v>
      </c>
      <c r="CC98" s="200"/>
      <c r="CD98" s="243"/>
      <c r="CG98" s="180" t="str">
        <f>IF(CG97="","",CF97)</f>
        <v> </v>
      </c>
      <c r="CH98" s="200" t="s">
        <v>194</v>
      </c>
      <c r="CI98" s="182"/>
      <c r="CJ98" s="49" t="s">
        <v>195</v>
      </c>
      <c r="CK98" s="235"/>
      <c r="CL98" s="180" t="str">
        <f>IF(CL97="","",CK97)</f>
        <v> </v>
      </c>
      <c r="CM98" s="49" t="s">
        <v>194</v>
      </c>
      <c r="CN98" s="49"/>
      <c r="CQ98" s="180" t="str">
        <f>IF(CQ97="","",CP97)</f>
        <v> </v>
      </c>
      <c r="CR98" s="49" t="s">
        <v>194</v>
      </c>
      <c r="CS98" s="234"/>
      <c r="CV98" s="180" t="str">
        <f>IF(CV97="","",CU97)</f>
        <v> </v>
      </c>
      <c r="CW98" s="49" t="s">
        <v>194</v>
      </c>
      <c r="CX98" s="49"/>
      <c r="CY98" s="49" t="s">
        <v>195</v>
      </c>
      <c r="CZ98" s="49"/>
      <c r="DA98" s="180" t="str">
        <f>IF(DA97="","",CZ97)</f>
        <v> </v>
      </c>
      <c r="DB98" s="49" t="s">
        <v>194</v>
      </c>
      <c r="DC98" s="49"/>
      <c r="DD98" s="49" t="s">
        <v>195</v>
      </c>
      <c r="DE98" s="49"/>
      <c r="DF98" s="49"/>
      <c r="DG98" s="49"/>
      <c r="DH98" s="49"/>
    </row>
    <row r="99" ht="13.5" hidden="1" customHeight="1">
      <c r="A99" s="54"/>
      <c r="B99" s="187">
        <v>47.0</v>
      </c>
      <c r="C99" s="188" t="str">
        <f>(VLOOKUP($B99,'Пр.взв'!$D$6:$J$63,2,0))</f>
        <v>#N/A</v>
      </c>
      <c r="D99" s="189" t="str">
        <f>(VLOOKUP($B99,'Пр.взв'!$D$6:$J$63,5,0))</f>
        <v>#N/A</v>
      </c>
      <c r="E99" s="190" t="str">
        <f>(VLOOKUP($B99,'Пр.взв'!$D$6:$M$63,8,0))</f>
        <v>#N/A</v>
      </c>
      <c r="F99" s="130"/>
      <c r="G99" s="255"/>
      <c r="H99" s="132"/>
      <c r="I99" s="255"/>
      <c r="J99" s="133" t="str">
        <f>IF(H99="Х","Х",IF($AC99&lt;6," ","Х"))</f>
        <v> </v>
      </c>
      <c r="K99" s="134"/>
      <c r="L99" s="133" t="str">
        <f>IF(J99="Х","Х",IF(K99&lt;3," ",IF($AC99&lt;6," ","Х")))</f>
        <v> </v>
      </c>
      <c r="M99" s="134"/>
      <c r="N99" s="133" t="str">
        <f>IF(L99="Х","Х",IF(M99&lt;3," ",IF($AC99&lt;6," ","Х")))</f>
        <v> </v>
      </c>
      <c r="O99" s="134"/>
      <c r="P99" s="133" t="str">
        <f>IF(N99="Х","Х",IF(O99&lt;3," ",IF($AC99&lt;6," ","Х")))</f>
        <v> </v>
      </c>
      <c r="Q99" s="134"/>
      <c r="R99" s="133" t="str">
        <f>IF(P99="Х","Х",IF(Q99&lt;3," ",IF($AC99&lt;6," ","Х")))</f>
        <v> </v>
      </c>
      <c r="S99" s="134"/>
      <c r="T99" s="133" t="str">
        <f>IF(R99="Х","Х",IF(S99&lt;3," ",IF($AC99&lt;6," ","Х")))</f>
        <v> </v>
      </c>
      <c r="U99" s="135"/>
      <c r="V99" s="133" t="str">
        <f>IF(T99="Х","Х",IF(U99&lt;3," ",IF($AC99&lt;6," ","Х")))</f>
        <v> </v>
      </c>
      <c r="W99" s="135"/>
      <c r="X99" s="133" t="str">
        <f>IF(V99="А1",$AZ$7,IF(V99="Б2",$AZ$6,IF(V99="Б1",$BA$7,IF(V99="А2",$BA$6,IF(V99="Х","Х",IF(V99&lt;6," "," "))))))</f>
        <v> </v>
      </c>
      <c r="Y99" s="136"/>
      <c r="Z99" s="133" t="str">
        <f>IF(V99="Х","Х",IF(ISBLANK(Y99),"",IF(Y99&gt;2.5," ",IF(B99=BB$6,BB$7,BB$6))))</f>
        <v/>
      </c>
      <c r="AA99" s="136"/>
      <c r="AB99" s="240" t="str">
        <f>IF(H99="Х",F$5,IF(J99="Х",H$5,IF(L99="Х",J$5,IF(N99="Х",L$5,IF(P99="Х",N$5,IF(R99="Х",P$5,IF(T99="Х",R$5,IF(X99="Х",T$5,""))))))))</f>
        <v/>
      </c>
      <c r="AC99" s="138">
        <f>SUM(G99+I99+K99+M99+O99+Q99+S99+U99+Y99+AA99)</f>
        <v>0</v>
      </c>
      <c r="AD99" s="241" t="str">
        <f>AF99</f>
        <v>25-71</v>
      </c>
      <c r="AE99" s="140" t="str">
        <f>AD99</f>
        <v>25-71</v>
      </c>
      <c r="AF99" s="141" t="str">
        <f>COUNTIF(AG$6:AG$148,"&gt;"&amp;AG$6:AG$148)+1&amp;REPT("-"&amp;COUNTIF(AG$6:AG$148,"&gt;="&amp;AG$6:AG$148),COUNTIF(AG$6:AG$148,AG99)&gt;1)</f>
        <v>25-71</v>
      </c>
      <c r="AG99" s="142">
        <f>(AR99*100)+(AP99*10)-AC99</f>
        <v>80</v>
      </c>
      <c r="AH99" s="143" t="str">
        <f>IF(OR(F99="Х",F99="св")," ",IF(AND(G99&gt;=0,G99&lt;3),"1"," "))</f>
        <v>1</v>
      </c>
      <c r="AI99" s="90" t="str">
        <f>IF(OR(H99="Х",H99="св")," ",IF(AND(I99&gt;=0,I99&lt;3),"1"," "))</f>
        <v>1</v>
      </c>
      <c r="AJ99" s="90" t="str">
        <f>IF(OR(J99="Х",J99="св")," ",IF(AND(K99&gt;=0,K99&lt;3),"1"," "))</f>
        <v>1</v>
      </c>
      <c r="AK99" s="90" t="str">
        <f>IF(OR(L99="Х",L99="св")," ",IF(AND(M99&gt;=0,M99&lt;3),"1"," "))</f>
        <v>1</v>
      </c>
      <c r="AL99" s="90" t="str">
        <f>IF(OR(N99="Х",N99="св")," ",IF(AND(O99&gt;=0,O99&lt;3),"1"," "))</f>
        <v>1</v>
      </c>
      <c r="AM99" s="90" t="str">
        <f>IF(OR(P99="Х",P99="св")," ",IF(AND(Q99&gt;=0,Q99&lt;3),"1"," "))</f>
        <v>1</v>
      </c>
      <c r="AN99" s="90" t="str">
        <f>IF(OR(R99="Х",R99="св")," ",IF(AND(S99&gt;=0,S99&lt;3),"1"," "))</f>
        <v>1</v>
      </c>
      <c r="AO99" s="90" t="str">
        <f>IF(OR(T99="Х",T99="св")," ",IF(AND(U99&gt;=0,U99&lt;3),"1"," "))</f>
        <v>1</v>
      </c>
      <c r="AP99" s="90">
        <f>COUNTIF(AH99:AO100,1)</f>
        <v>8</v>
      </c>
      <c r="AQ99" s="90">
        <f>AG99-AC99</f>
        <v>80</v>
      </c>
      <c r="AR99" s="144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0" t="str">
        <f>COUNTIF(AG$6:AG$134,"&gt;"&amp;AG$6:AG$134)+1&amp;REPT("-"&amp;COUNTIF(AG$6:AG$134,"&gt;="&amp;AG$6:AG$134),COUNTIF(AG$6:AG$134,AG99)&gt;1)</f>
        <v>25-64</v>
      </c>
      <c r="AT99" s="143" t="str">
        <f t="shared" ref="AT99:AW99" si="52">COUNTIF(AU$6:AU$134,"&gt;"&amp;AU$6:AU$134)+1&amp;REPT("-"&amp;COUNTIF(AU$6:AU$134,"&gt;="&amp;AU$6:AU$134),COUNTIF(AU$6:AU$134,AU99)&gt;1)</f>
        <v>1-64</v>
      </c>
      <c r="AU99" s="143" t="str">
        <f t="shared" si="52"/>
        <v>1-0</v>
      </c>
      <c r="AV99" s="143" t="str">
        <f t="shared" si="52"/>
        <v>1</v>
      </c>
      <c r="AW99" s="143" t="str">
        <f t="shared" si="52"/>
        <v>18</v>
      </c>
      <c r="AX99" s="145">
        <f>IF(X99="Х","Х",IF(Y99&lt;3,B99,"Х"))</f>
        <v>47</v>
      </c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195">
        <v>47.0</v>
      </c>
      <c r="BN99" s="196"/>
      <c r="BO99" s="153" t="str">
        <f>IF(BM99&lt;BN99,BM99,"")</f>
        <v/>
      </c>
      <c r="BP99" s="196" t="s">
        <v>195</v>
      </c>
      <c r="BQ99" s="197"/>
      <c r="BR99" s="198" t="s">
        <v>195</v>
      </c>
      <c r="BS99" s="196"/>
      <c r="BT99" s="175" t="str">
        <f>IF(BR99&lt;BS99,BR99,"")</f>
        <v/>
      </c>
      <c r="BU99" s="196" t="s">
        <v>195</v>
      </c>
      <c r="BV99" s="196"/>
      <c r="BW99" s="199">
        <v>47.0</v>
      </c>
      <c r="BX99" s="74" t="s">
        <v>194</v>
      </c>
      <c r="BY99" s="160">
        <f t="array" ref="BY99">IF(BW99&lt;BX99,BW99,"")</f>
        <v>47</v>
      </c>
      <c r="BZ99" s="160">
        <f t="shared" si="17"/>
        <v>47</v>
      </c>
      <c r="CA99" s="74"/>
      <c r="CB99" s="74" t="str">
        <f t="shared" si="18"/>
        <v>св</v>
      </c>
      <c r="CC99" s="200"/>
      <c r="CD99" s="243"/>
      <c r="CE99" s="200">
        <v>47.0</v>
      </c>
      <c r="CF99" s="25" t="s">
        <v>194</v>
      </c>
      <c r="CG99" s="153">
        <f t="array" ref="CG99">IF(CE99&lt;CF99,CE99,"")</f>
        <v>47</v>
      </c>
      <c r="CH99" s="74">
        <v>47.0</v>
      </c>
      <c r="CI99" s="182"/>
      <c r="CJ99" s="93">
        <v>47.0</v>
      </c>
      <c r="CK99" s="233" t="s">
        <v>194</v>
      </c>
      <c r="CL99" s="153">
        <f t="array" ref="CL99">IF(CJ99&lt;CK99,CJ99,"")</f>
        <v>47</v>
      </c>
      <c r="CM99" s="49">
        <v>47.0</v>
      </c>
      <c r="CN99" s="49"/>
      <c r="CO99" s="74">
        <v>47.0</v>
      </c>
      <c r="CP99" s="200" t="s">
        <v>194</v>
      </c>
      <c r="CQ99" s="153">
        <f t="array" ref="CQ99">IF(CO99&lt;CP99,CO99,"")</f>
        <v>47</v>
      </c>
      <c r="CR99" s="93">
        <v>47.0</v>
      </c>
      <c r="CS99" s="234"/>
      <c r="CT99" s="200">
        <v>47.0</v>
      </c>
      <c r="CU99" s="74" t="s">
        <v>194</v>
      </c>
      <c r="CV99" s="153">
        <f t="array" ref="CV99">IF(CT99&lt;CU99,CT99,"")</f>
        <v>47</v>
      </c>
      <c r="CW99" s="49">
        <v>47.0</v>
      </c>
      <c r="CX99" s="49"/>
      <c r="CY99" s="49">
        <v>47.0</v>
      </c>
      <c r="CZ99" s="49" t="s">
        <v>194</v>
      </c>
      <c r="DA99" s="153">
        <f t="array" ref="DA99">IF(CY99&lt;CZ99,CY99,"")</f>
        <v>47</v>
      </c>
      <c r="DB99" s="49">
        <v>47.0</v>
      </c>
      <c r="DC99" s="49"/>
      <c r="DD99" s="49">
        <v>47.0</v>
      </c>
      <c r="DE99" s="49"/>
      <c r="DF99" s="49"/>
      <c r="DG99" s="49"/>
      <c r="DH99" s="49"/>
    </row>
    <row r="100" ht="13.5" hidden="1" customHeight="1">
      <c r="A100" s="54"/>
      <c r="B100" s="165"/>
      <c r="C100" s="165"/>
      <c r="D100" s="165"/>
      <c r="E100" s="165"/>
      <c r="F100" s="166"/>
      <c r="G100" s="167"/>
      <c r="H100" s="168"/>
      <c r="I100" s="167"/>
      <c r="J100" s="168"/>
      <c r="K100" s="167"/>
      <c r="L100" s="168"/>
      <c r="M100" s="167"/>
      <c r="N100" s="168"/>
      <c r="O100" s="167"/>
      <c r="P100" s="168"/>
      <c r="Q100" s="167"/>
      <c r="R100" s="168"/>
      <c r="S100" s="167"/>
      <c r="T100" s="168"/>
      <c r="U100" s="169"/>
      <c r="V100" s="168"/>
      <c r="W100" s="169"/>
      <c r="X100" s="168"/>
      <c r="Y100" s="167"/>
      <c r="Z100" s="168"/>
      <c r="AA100" s="167"/>
      <c r="AB100" s="166"/>
      <c r="AC100" s="165"/>
      <c r="AD100" s="168"/>
      <c r="AE100" s="170"/>
      <c r="AF100" s="171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178"/>
      <c r="BO100" s="175" t="str">
        <f>IF(BO99="","",BN99)</f>
        <v/>
      </c>
      <c r="BP100" s="175" t="s">
        <v>195</v>
      </c>
      <c r="BQ100" s="197"/>
      <c r="BT100" s="175" t="str">
        <f>IF(BT99="","",BS99)</f>
        <v/>
      </c>
      <c r="BU100" s="175" t="s">
        <v>195</v>
      </c>
      <c r="BV100" s="196"/>
      <c r="BW100" s="178"/>
      <c r="BY100" s="160" t="str">
        <f>IF(BY99="","",BX99)</f>
        <v> </v>
      </c>
      <c r="BZ100" s="160" t="str">
        <f t="shared" si="17"/>
        <v> </v>
      </c>
      <c r="CA100" s="200"/>
      <c r="CB100" s="74" t="str">
        <f t="shared" si="18"/>
        <v>св</v>
      </c>
      <c r="CC100" s="200"/>
      <c r="CD100" s="243"/>
      <c r="CG100" s="180" t="str">
        <f>IF(CG99="","",CF99)</f>
        <v> </v>
      </c>
      <c r="CH100" s="200" t="s">
        <v>194</v>
      </c>
      <c r="CI100" s="182"/>
      <c r="CJ100" s="49" t="s">
        <v>195</v>
      </c>
      <c r="CK100" s="235"/>
      <c r="CL100" s="180" t="str">
        <f>IF(CL99="","",CK99)</f>
        <v> </v>
      </c>
      <c r="CM100" s="49" t="s">
        <v>194</v>
      </c>
      <c r="CN100" s="49"/>
      <c r="CQ100" s="180" t="str">
        <f>IF(CQ99="","",CP99)</f>
        <v> </v>
      </c>
      <c r="CR100" s="49" t="s">
        <v>194</v>
      </c>
      <c r="CS100" s="234"/>
      <c r="CV100" s="180" t="str">
        <f>IF(CV99="","",CU99)</f>
        <v> </v>
      </c>
      <c r="CW100" s="49" t="s">
        <v>194</v>
      </c>
      <c r="CX100" s="49"/>
      <c r="CY100" s="49" t="s">
        <v>195</v>
      </c>
      <c r="CZ100" s="49"/>
      <c r="DA100" s="180" t="str">
        <f>IF(DA99="","",CZ99)</f>
        <v> </v>
      </c>
      <c r="DB100" s="49" t="s">
        <v>194</v>
      </c>
      <c r="DC100" s="49"/>
      <c r="DD100" s="49" t="s">
        <v>195</v>
      </c>
      <c r="DE100" s="49"/>
      <c r="DF100" s="49"/>
      <c r="DG100" s="49"/>
      <c r="DH100" s="49"/>
    </row>
    <row r="101" ht="13.5" hidden="1" customHeight="1">
      <c r="A101" s="54"/>
      <c r="B101" s="187">
        <v>48.0</v>
      </c>
      <c r="C101" s="188" t="str">
        <f>(VLOOKUP($B101,'Пр.взв'!$D$6:$J$63,2,0))</f>
        <v>#N/A</v>
      </c>
      <c r="D101" s="189" t="str">
        <f>(VLOOKUP($B101,'Пр.взв'!$D$6:$J$63,5,0))</f>
        <v>#N/A</v>
      </c>
      <c r="E101" s="190" t="str">
        <f>(VLOOKUP($B101,'Пр.взв'!$D$6:$M$63,8,0))</f>
        <v>#N/A</v>
      </c>
      <c r="F101" s="130"/>
      <c r="G101" s="134"/>
      <c r="H101" s="132"/>
      <c r="I101" s="136"/>
      <c r="J101" s="133" t="str">
        <f>IF(H101="Х","Х",IF($AC101&lt;6," ","Х"))</f>
        <v> </v>
      </c>
      <c r="K101" s="134"/>
      <c r="L101" s="133" t="str">
        <f>IF(J101="Х","Х",IF(K101&lt;3," ",IF($AC101&lt;6," ","Х")))</f>
        <v> </v>
      </c>
      <c r="M101" s="134"/>
      <c r="N101" s="133" t="str">
        <f>IF(L101="Х","Х",IF(M101&lt;3," ",IF($AC101&lt;6," ","Х")))</f>
        <v> </v>
      </c>
      <c r="O101" s="134"/>
      <c r="P101" s="133" t="str">
        <f>IF(N101="Х","Х",IF(O101&lt;3," ",IF($AC101&lt;6," ","Х")))</f>
        <v> </v>
      </c>
      <c r="Q101" s="134"/>
      <c r="R101" s="133" t="str">
        <f>IF(P101="Х","Х",IF(Q101&lt;3," ",IF($AC101&lt;6," ","Х")))</f>
        <v> </v>
      </c>
      <c r="S101" s="134"/>
      <c r="T101" s="133" t="str">
        <f>IF(R101="Х","Х",IF(S101&lt;3," ",IF($AC101&lt;6," ","Х")))</f>
        <v> </v>
      </c>
      <c r="U101" s="135"/>
      <c r="V101" s="133" t="str">
        <f>IF(T101="Х","Х",IF(U101&lt;3," ",IF($AC101&lt;6," ","Х")))</f>
        <v> </v>
      </c>
      <c r="W101" s="135"/>
      <c r="X101" s="133" t="str">
        <f>IF(V101="А1",$AZ$7,IF(V101="Б2",$AZ$6,IF(V101="Б1",$BA$7,IF(V101="А2",$BA$6,IF(V101="Х","Х",IF(V101&lt;6," "," "))))))</f>
        <v> </v>
      </c>
      <c r="Y101" s="136"/>
      <c r="Z101" s="133" t="str">
        <f>IF(V101="Х","Х",IF(ISBLANK(Y101),"",IF(Y101&gt;2.5," ",IF(B101=BB$6,BB$7,BB$6))))</f>
        <v/>
      </c>
      <c r="AA101" s="136"/>
      <c r="AB101" s="240" t="str">
        <f>IF(H101="Х",F$5,IF(J101="Х",H$5,IF(L101="Х",J$5,IF(N101="Х",L$5,IF(P101="Х",N$5,IF(R101="Х",P$5,IF(T101="Х",R$5,IF(X101="Х",T$5,""))))))))</f>
        <v/>
      </c>
      <c r="AC101" s="138">
        <f>SUM(G101+I101+K101+M101+O101+Q101+S101+U101+Y101+AA101)</f>
        <v>0</v>
      </c>
      <c r="AD101" s="241" t="str">
        <f>AF101</f>
        <v>25-71</v>
      </c>
      <c r="AE101" s="140" t="str">
        <f>AD101</f>
        <v>25-71</v>
      </c>
      <c r="AF101" s="141" t="str">
        <f>COUNTIF(AG$6:AG$148,"&gt;"&amp;AG$6:AG$148)+1&amp;REPT("-"&amp;COUNTIF(AG$6:AG$148,"&gt;="&amp;AG$6:AG$148),COUNTIF(AG$6:AG$148,AG101)&gt;1)</f>
        <v>25-71</v>
      </c>
      <c r="AG101" s="142">
        <f>(AR101*100)+(AP101*10)-AC101</f>
        <v>80</v>
      </c>
      <c r="AH101" s="143" t="str">
        <f>IF(OR(F101="Х",F101="св")," ",IF(AND(G101&gt;=0,G101&lt;3),"1"," "))</f>
        <v>1</v>
      </c>
      <c r="AI101" s="90" t="str">
        <f>IF(OR(H101="Х",H101="св")," ",IF(AND(I101&gt;=0,I101&lt;3),"1"," "))</f>
        <v>1</v>
      </c>
      <c r="AJ101" s="90" t="str">
        <f>IF(OR(J101="Х",J101="св")," ",IF(AND(K101&gt;=0,K101&lt;3),"1"," "))</f>
        <v>1</v>
      </c>
      <c r="AK101" s="90" t="str">
        <f>IF(OR(L101="Х",L101="св")," ",IF(AND(M101&gt;=0,M101&lt;3),"1"," "))</f>
        <v>1</v>
      </c>
      <c r="AL101" s="90" t="str">
        <f>IF(OR(N101="Х",N101="св")," ",IF(AND(O101&gt;=0,O101&lt;3),"1"," "))</f>
        <v>1</v>
      </c>
      <c r="AM101" s="90" t="str">
        <f>IF(OR(P101="Х",P101="св")," ",IF(AND(Q101&gt;=0,Q101&lt;3),"1"," "))</f>
        <v>1</v>
      </c>
      <c r="AN101" s="90" t="str">
        <f>IF(OR(R101="Х",R101="св")," ",IF(AND(S101&gt;=0,S101&lt;3),"1"," "))</f>
        <v>1</v>
      </c>
      <c r="AO101" s="90" t="str">
        <f>IF(OR(T101="Х",T101="св")," ",IF(AND(U101&gt;=0,U101&lt;3),"1"," "))</f>
        <v>1</v>
      </c>
      <c r="AP101" s="90">
        <f>COUNTIF(AH101:AO102,1)</f>
        <v>8</v>
      </c>
      <c r="AQ101" s="90">
        <f>AG101-AC101</f>
        <v>80</v>
      </c>
      <c r="AR101" s="144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0" t="str">
        <f>COUNTIF(AG$6:AG$134,"&gt;"&amp;AG$6:AG$134)+1&amp;REPT("-"&amp;COUNTIF(AG$6:AG$134,"&gt;="&amp;AG$6:AG$134),COUNTIF(AG$6:AG$134,AG101)&gt;1)</f>
        <v>25-64</v>
      </c>
      <c r="AT101" s="143" t="str">
        <f t="shared" ref="AT101:AW101" si="53">COUNTIF(AU$6:AU$134,"&gt;"&amp;AU$6:AU$134)+1&amp;REPT("-"&amp;COUNTIF(AU$6:AU$134,"&gt;="&amp;AU$6:AU$134),COUNTIF(AU$6:AU$134,AU101)&gt;1)</f>
        <v>1-64</v>
      </c>
      <c r="AU101" s="143" t="str">
        <f t="shared" si="53"/>
        <v>1-0</v>
      </c>
      <c r="AV101" s="143" t="str">
        <f t="shared" si="53"/>
        <v>1</v>
      </c>
      <c r="AW101" s="143" t="str">
        <f t="shared" si="53"/>
        <v>17</v>
      </c>
      <c r="AX101" s="145">
        <f>IF(X101="Х","Х",IF(Y101&lt;3,B101,"Х"))</f>
        <v>48</v>
      </c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195">
        <v>48.0</v>
      </c>
      <c r="BN101" s="196"/>
      <c r="BO101" s="153" t="str">
        <f>IF(BM101&lt;BN101,BM101,"")</f>
        <v/>
      </c>
      <c r="BP101" s="196" t="s">
        <v>195</v>
      </c>
      <c r="BQ101" s="197"/>
      <c r="BR101" s="198" t="s">
        <v>195</v>
      </c>
      <c r="BS101" s="196"/>
      <c r="BT101" s="175" t="str">
        <f>IF(BR101&lt;BS101,BR101,"")</f>
        <v/>
      </c>
      <c r="BU101" s="196" t="s">
        <v>195</v>
      </c>
      <c r="BV101" s="196"/>
      <c r="BW101" s="199">
        <v>48.0</v>
      </c>
      <c r="BX101" s="74" t="s">
        <v>194</v>
      </c>
      <c r="BY101" s="160">
        <f t="array" ref="BY101">IF(BW101&lt;BX101,BW101,"")</f>
        <v>48</v>
      </c>
      <c r="BZ101" s="160">
        <f t="shared" si="17"/>
        <v>48</v>
      </c>
      <c r="CA101" s="74"/>
      <c r="CB101" s="74" t="str">
        <f t="shared" si="18"/>
        <v>св</v>
      </c>
      <c r="CC101" s="200"/>
      <c r="CD101" s="243"/>
      <c r="CE101" s="200">
        <v>48.0</v>
      </c>
      <c r="CF101" s="25" t="s">
        <v>194</v>
      </c>
      <c r="CG101" s="153">
        <f t="array" ref="CG101">IF(CE101&lt;CF101,CE101,"")</f>
        <v>48</v>
      </c>
      <c r="CH101" s="74">
        <v>48.0</v>
      </c>
      <c r="CI101" s="182"/>
      <c r="CJ101" s="93">
        <v>48.0</v>
      </c>
      <c r="CK101" s="233" t="s">
        <v>194</v>
      </c>
      <c r="CL101" s="153">
        <f t="array" ref="CL101">IF(CJ101&lt;CK101,CJ101,"")</f>
        <v>48</v>
      </c>
      <c r="CM101" s="49">
        <v>48.0</v>
      </c>
      <c r="CN101" s="49"/>
      <c r="CO101" s="74">
        <v>48.0</v>
      </c>
      <c r="CP101" s="200" t="s">
        <v>194</v>
      </c>
      <c r="CQ101" s="153">
        <f t="array" ref="CQ101">IF(CO101&lt;CP101,CO101,"")</f>
        <v>48</v>
      </c>
      <c r="CR101" s="93">
        <v>48.0</v>
      </c>
      <c r="CS101" s="234"/>
      <c r="CT101" s="200">
        <v>48.0</v>
      </c>
      <c r="CU101" s="74" t="s">
        <v>194</v>
      </c>
      <c r="CV101" s="153">
        <f t="array" ref="CV101">IF(CT101&lt;CU101,CT101,"")</f>
        <v>48</v>
      </c>
      <c r="CW101" s="49">
        <v>48.0</v>
      </c>
      <c r="CX101" s="49"/>
      <c r="CY101" s="49">
        <v>48.0</v>
      </c>
      <c r="CZ101" s="49" t="s">
        <v>194</v>
      </c>
      <c r="DA101" s="153">
        <f t="array" ref="DA101">IF(CY101&lt;CZ101,CY101,"")</f>
        <v>48</v>
      </c>
      <c r="DB101" s="49">
        <v>48.0</v>
      </c>
      <c r="DC101" s="49"/>
      <c r="DD101" s="49">
        <v>48.0</v>
      </c>
      <c r="DE101" s="49"/>
      <c r="DF101" s="49"/>
      <c r="DG101" s="49"/>
      <c r="DH101" s="49"/>
    </row>
    <row r="102" ht="13.5" hidden="1" customHeight="1">
      <c r="A102" s="54"/>
      <c r="B102" s="165"/>
      <c r="C102" s="165"/>
      <c r="D102" s="165"/>
      <c r="E102" s="165"/>
      <c r="F102" s="166"/>
      <c r="G102" s="167"/>
      <c r="H102" s="168"/>
      <c r="I102" s="167"/>
      <c r="J102" s="168"/>
      <c r="K102" s="167"/>
      <c r="L102" s="168"/>
      <c r="M102" s="167"/>
      <c r="N102" s="168"/>
      <c r="O102" s="167"/>
      <c r="P102" s="168"/>
      <c r="Q102" s="167"/>
      <c r="R102" s="168"/>
      <c r="S102" s="167"/>
      <c r="T102" s="168"/>
      <c r="U102" s="169"/>
      <c r="V102" s="168"/>
      <c r="W102" s="169"/>
      <c r="X102" s="168"/>
      <c r="Y102" s="167"/>
      <c r="Z102" s="168"/>
      <c r="AA102" s="167"/>
      <c r="AB102" s="166"/>
      <c r="AC102" s="165"/>
      <c r="AD102" s="168"/>
      <c r="AE102" s="170"/>
      <c r="AF102" s="171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178"/>
      <c r="BO102" s="175" t="str">
        <f>IF(BO101="","",BN101)</f>
        <v/>
      </c>
      <c r="BP102" s="175" t="s">
        <v>195</v>
      </c>
      <c r="BQ102" s="197"/>
      <c r="BT102" s="175" t="str">
        <f>IF(BT101="","",BS101)</f>
        <v/>
      </c>
      <c r="BU102" s="175" t="s">
        <v>195</v>
      </c>
      <c r="BV102" s="196"/>
      <c r="BW102" s="178"/>
      <c r="BY102" s="160" t="str">
        <f>IF(BY101="","",BX101)</f>
        <v> </v>
      </c>
      <c r="BZ102" s="160" t="str">
        <f t="shared" si="17"/>
        <v> </v>
      </c>
      <c r="CA102" s="200"/>
      <c r="CB102" s="74" t="str">
        <f t="shared" si="18"/>
        <v>св</v>
      </c>
      <c r="CC102" s="200"/>
      <c r="CD102" s="243"/>
      <c r="CG102" s="180" t="str">
        <f>IF(CG101="","",CF101)</f>
        <v> </v>
      </c>
      <c r="CH102" s="200" t="s">
        <v>194</v>
      </c>
      <c r="CI102" s="182"/>
      <c r="CJ102" s="49" t="s">
        <v>195</v>
      </c>
      <c r="CK102" s="235"/>
      <c r="CL102" s="180" t="str">
        <f>IF(CL101="","",CK101)</f>
        <v> </v>
      </c>
      <c r="CM102" s="49" t="s">
        <v>194</v>
      </c>
      <c r="CN102" s="49"/>
      <c r="CQ102" s="180" t="str">
        <f>IF(CQ101="","",CP101)</f>
        <v> </v>
      </c>
      <c r="CR102" s="49" t="s">
        <v>194</v>
      </c>
      <c r="CS102" s="234"/>
      <c r="CV102" s="180" t="str">
        <f>IF(CV101="","",CU101)</f>
        <v> </v>
      </c>
      <c r="CW102" s="49" t="s">
        <v>194</v>
      </c>
      <c r="CX102" s="49"/>
      <c r="CY102" s="49" t="s">
        <v>195</v>
      </c>
      <c r="CZ102" s="49"/>
      <c r="DA102" s="180" t="str">
        <f>IF(DA101="","",CZ101)</f>
        <v> </v>
      </c>
      <c r="DB102" s="49" t="s">
        <v>194</v>
      </c>
      <c r="DC102" s="49"/>
      <c r="DD102" s="49" t="s">
        <v>195</v>
      </c>
      <c r="DE102" s="49"/>
      <c r="DF102" s="49"/>
      <c r="DG102" s="49"/>
      <c r="DH102" s="49"/>
    </row>
    <row r="103" ht="13.5" hidden="1" customHeight="1">
      <c r="A103" s="54"/>
      <c r="B103" s="187">
        <v>49.0</v>
      </c>
      <c r="C103" s="188" t="str">
        <f>(VLOOKUP($B103,'Пр.взв'!$D$6:$J$63,2,0))</f>
        <v>#N/A</v>
      </c>
      <c r="D103" s="189" t="str">
        <f>(VLOOKUP($B103,'Пр.взв'!$D$6:$J$63,5,0))</f>
        <v>#N/A</v>
      </c>
      <c r="E103" s="190" t="str">
        <f>(VLOOKUP($B103,'Пр.взв'!$D$6:$M$63,8,0))</f>
        <v>#N/A</v>
      </c>
      <c r="F103" s="130"/>
      <c r="G103" s="255"/>
      <c r="H103" s="132"/>
      <c r="I103" s="255"/>
      <c r="J103" s="133" t="str">
        <f>IF(H103="Х","Х",IF($AC103&lt;6," ","Х"))</f>
        <v> </v>
      </c>
      <c r="K103" s="134"/>
      <c r="L103" s="133" t="str">
        <f>IF(J103="Х","Х",IF(K103&lt;3," ",IF($AC103&lt;6," ","Х")))</f>
        <v> </v>
      </c>
      <c r="M103" s="134"/>
      <c r="N103" s="133" t="str">
        <f>IF(L103="Х","Х",IF(M103&lt;3," ",IF($AC103&lt;6," ","Х")))</f>
        <v> </v>
      </c>
      <c r="O103" s="134"/>
      <c r="P103" s="133" t="str">
        <f>IF(N103="Х","Х",IF(O103&lt;3," ",IF($AC103&lt;6," ","Х")))</f>
        <v> </v>
      </c>
      <c r="Q103" s="134"/>
      <c r="R103" s="133" t="str">
        <f>IF(P103="Х","Х",IF(Q103&lt;3," ",IF($AC103&lt;6," ","Х")))</f>
        <v> </v>
      </c>
      <c r="S103" s="134"/>
      <c r="T103" s="133" t="str">
        <f>IF(R103="Х","Х",IF(S103&lt;3," ",IF($AC103&lt;6," ","Х")))</f>
        <v> </v>
      </c>
      <c r="U103" s="135"/>
      <c r="V103" s="133" t="str">
        <f>IF(T103="Х","Х",IF(U103&lt;3," ",IF($AC103&lt;6," ","Х")))</f>
        <v> </v>
      </c>
      <c r="W103" s="135"/>
      <c r="X103" s="133" t="str">
        <f>IF(V103="А1",$AZ$7,IF(V103="Б2",$AZ$6,IF(V103="Б1",$BA$7,IF(V103="А2",$BA$6,IF(V103="Х","Х",IF(V103&lt;6," "," "))))))</f>
        <v> </v>
      </c>
      <c r="Y103" s="136"/>
      <c r="Z103" s="133" t="str">
        <f>IF(V103="Х","Х",IF(ISBLANK(Y103),"",IF(Y103&gt;2.5," ",IF(B103=BB$6,BB$7,BB$6))))</f>
        <v/>
      </c>
      <c r="AA103" s="136"/>
      <c r="AB103" s="240" t="str">
        <f>IF(H103="Х",F$5,IF(J103="Х",H$5,IF(L103="Х",J$5,IF(N103="Х",L$5,IF(P103="Х",N$5,IF(R103="Х",P$5,IF(T103="Х",R$5,IF(X103="Х",T$5,""))))))))</f>
        <v/>
      </c>
      <c r="AC103" s="138">
        <f>SUM(G103+I103+K103+M103+O103+Q103+S103+U103+Y103+AA103)</f>
        <v>0</v>
      </c>
      <c r="AD103" s="241" t="str">
        <f>AF103</f>
        <v>25-71</v>
      </c>
      <c r="AE103" s="140" t="str">
        <f>AD103</f>
        <v>25-71</v>
      </c>
      <c r="AF103" s="141" t="str">
        <f>COUNTIF(AG$6:AG$148,"&gt;"&amp;AG$6:AG$148)+1&amp;REPT("-"&amp;COUNTIF(AG$6:AG$148,"&gt;="&amp;AG$6:AG$148),COUNTIF(AG$6:AG$148,AG103)&gt;1)</f>
        <v>25-71</v>
      </c>
      <c r="AG103" s="142">
        <f>(AR103*100)+(AP103*10)-AC103</f>
        <v>80</v>
      </c>
      <c r="AH103" s="143" t="str">
        <f>IF(OR(F103="Х",F103="св")," ",IF(AND(G103&gt;=0,G103&lt;3),"1"," "))</f>
        <v>1</v>
      </c>
      <c r="AI103" s="90" t="str">
        <f>IF(OR(H103="Х",H103="св")," ",IF(AND(I103&gt;=0,I103&lt;3),"1"," "))</f>
        <v>1</v>
      </c>
      <c r="AJ103" s="90" t="str">
        <f>IF(OR(J103="Х",J103="св")," ",IF(AND(K103&gt;=0,K103&lt;3),"1"," "))</f>
        <v>1</v>
      </c>
      <c r="AK103" s="90" t="str">
        <f>IF(OR(L103="Х",L103="св")," ",IF(AND(M103&gt;=0,M103&lt;3),"1"," "))</f>
        <v>1</v>
      </c>
      <c r="AL103" s="90" t="str">
        <f>IF(OR(N103="Х",N103="св")," ",IF(AND(O103&gt;=0,O103&lt;3),"1"," "))</f>
        <v>1</v>
      </c>
      <c r="AM103" s="90" t="str">
        <f>IF(OR(P103="Х",P103="св")," ",IF(AND(Q103&gt;=0,Q103&lt;3),"1"," "))</f>
        <v>1</v>
      </c>
      <c r="AN103" s="90" t="str">
        <f>IF(OR(R103="Х",R103="св")," ",IF(AND(S103&gt;=0,S103&lt;3),"1"," "))</f>
        <v>1</v>
      </c>
      <c r="AO103" s="90" t="str">
        <f>IF(OR(T103="Х",T103="св")," ",IF(AND(U103&gt;=0,U103&lt;3),"1"," "))</f>
        <v>1</v>
      </c>
      <c r="AP103" s="90">
        <f>COUNTIF(AH103:AO104,1)</f>
        <v>8</v>
      </c>
      <c r="AQ103" s="90">
        <f>AG103-AC103</f>
        <v>80</v>
      </c>
      <c r="AR103" s="144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0" t="str">
        <f>COUNTIF(AG$6:AG$134,"&gt;"&amp;AG$6:AG$134)+1&amp;REPT("-"&amp;COUNTIF(AG$6:AG$134,"&gt;="&amp;AG$6:AG$134),COUNTIF(AG$6:AG$134,AG103)&gt;1)</f>
        <v>25-64</v>
      </c>
      <c r="AT103" s="143" t="str">
        <f t="shared" ref="AT103:AW103" si="54">COUNTIF(AU$6:AU$134,"&gt;"&amp;AU$6:AU$134)+1&amp;REPT("-"&amp;COUNTIF(AU$6:AU$134,"&gt;="&amp;AU$6:AU$134),COUNTIF(AU$6:AU$134,AU103)&gt;1)</f>
        <v>1-64</v>
      </c>
      <c r="AU103" s="143" t="str">
        <f t="shared" si="54"/>
        <v>1-0</v>
      </c>
      <c r="AV103" s="143" t="str">
        <f t="shared" si="54"/>
        <v>1</v>
      </c>
      <c r="AW103" s="143" t="str">
        <f t="shared" si="54"/>
        <v>16</v>
      </c>
      <c r="AX103" s="145">
        <f>IF(X103="Х","Х",IF(Y103&lt;3,B103,"Х"))</f>
        <v>49</v>
      </c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195">
        <v>49.0</v>
      </c>
      <c r="BN103" s="196"/>
      <c r="BO103" s="153" t="str">
        <f>IF(BM103&lt;BN103,BM103,"")</f>
        <v/>
      </c>
      <c r="BP103" s="196" t="s">
        <v>195</v>
      </c>
      <c r="BQ103" s="197"/>
      <c r="BR103" s="198" t="s">
        <v>195</v>
      </c>
      <c r="BS103" s="196"/>
      <c r="BT103" s="175" t="str">
        <f>IF(BR103&lt;BS103,BR103,"")</f>
        <v/>
      </c>
      <c r="BU103" s="196" t="s">
        <v>195</v>
      </c>
      <c r="BV103" s="196"/>
      <c r="BW103" s="199">
        <v>49.0</v>
      </c>
      <c r="BX103" s="74" t="s">
        <v>194</v>
      </c>
      <c r="BY103" s="160">
        <f t="array" ref="BY103">IF(BW103&lt;BX103,BW103,"")</f>
        <v>49</v>
      </c>
      <c r="BZ103" s="160">
        <f t="shared" si="17"/>
        <v>49</v>
      </c>
      <c r="CA103" s="74"/>
      <c r="CB103" s="74" t="str">
        <f t="shared" si="18"/>
        <v>св</v>
      </c>
      <c r="CC103" s="200"/>
      <c r="CD103" s="243"/>
      <c r="CE103" s="200">
        <v>49.0</v>
      </c>
      <c r="CF103" s="25" t="s">
        <v>194</v>
      </c>
      <c r="CG103" s="153">
        <f t="array" ref="CG103">IF(CE103&lt;CF103,CE103,"")</f>
        <v>49</v>
      </c>
      <c r="CH103" s="74">
        <v>49.0</v>
      </c>
      <c r="CI103" s="182"/>
      <c r="CJ103" s="93">
        <v>49.0</v>
      </c>
      <c r="CK103" s="233" t="s">
        <v>194</v>
      </c>
      <c r="CL103" s="153">
        <f t="array" ref="CL103">IF(CJ103&lt;CK103,CJ103,"")</f>
        <v>49</v>
      </c>
      <c r="CM103" s="49">
        <v>49.0</v>
      </c>
      <c r="CN103" s="49"/>
      <c r="CO103" s="74">
        <v>49.0</v>
      </c>
      <c r="CP103" s="200" t="s">
        <v>194</v>
      </c>
      <c r="CQ103" s="153">
        <f t="array" ref="CQ103">IF(CO103&lt;CP103,CO103,"")</f>
        <v>49</v>
      </c>
      <c r="CR103" s="93">
        <v>49.0</v>
      </c>
      <c r="CS103" s="234"/>
      <c r="CT103" s="200">
        <v>49.0</v>
      </c>
      <c r="CU103" s="74" t="s">
        <v>194</v>
      </c>
      <c r="CV103" s="153">
        <f t="array" ref="CV103">IF(CT103&lt;CU103,CT103,"")</f>
        <v>49</v>
      </c>
      <c r="CW103" s="49">
        <v>49.0</v>
      </c>
      <c r="CX103" s="49"/>
      <c r="CY103" s="49">
        <v>49.0</v>
      </c>
      <c r="CZ103" s="49" t="s">
        <v>194</v>
      </c>
      <c r="DA103" s="153">
        <f t="array" ref="DA103">IF(CY103&lt;CZ103,CY103,"")</f>
        <v>49</v>
      </c>
      <c r="DB103" s="49">
        <v>49.0</v>
      </c>
      <c r="DC103" s="49"/>
      <c r="DD103" s="49">
        <v>49.0</v>
      </c>
      <c r="DE103" s="49"/>
      <c r="DF103" s="49"/>
      <c r="DG103" s="49"/>
      <c r="DH103" s="49"/>
    </row>
    <row r="104" ht="13.5" hidden="1" customHeight="1">
      <c r="A104" s="54"/>
      <c r="B104" s="165"/>
      <c r="C104" s="165"/>
      <c r="D104" s="165"/>
      <c r="E104" s="165"/>
      <c r="F104" s="166"/>
      <c r="G104" s="167"/>
      <c r="H104" s="168"/>
      <c r="I104" s="167"/>
      <c r="J104" s="168"/>
      <c r="K104" s="167"/>
      <c r="L104" s="168"/>
      <c r="M104" s="167"/>
      <c r="N104" s="168"/>
      <c r="O104" s="167"/>
      <c r="P104" s="168"/>
      <c r="Q104" s="167"/>
      <c r="R104" s="168"/>
      <c r="S104" s="167"/>
      <c r="T104" s="168"/>
      <c r="U104" s="169"/>
      <c r="V104" s="168"/>
      <c r="W104" s="169"/>
      <c r="X104" s="168"/>
      <c r="Y104" s="167"/>
      <c r="Z104" s="168"/>
      <c r="AA104" s="167"/>
      <c r="AB104" s="166"/>
      <c r="AC104" s="165"/>
      <c r="AD104" s="168"/>
      <c r="AE104" s="170"/>
      <c r="AF104" s="171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178"/>
      <c r="BO104" s="175" t="str">
        <f>IF(BO103="","",BN103)</f>
        <v/>
      </c>
      <c r="BP104" s="175" t="s">
        <v>195</v>
      </c>
      <c r="BQ104" s="197"/>
      <c r="BT104" s="175" t="str">
        <f>IF(BT103="","",BS103)</f>
        <v/>
      </c>
      <c r="BU104" s="175" t="s">
        <v>195</v>
      </c>
      <c r="BV104" s="196"/>
      <c r="BW104" s="178"/>
      <c r="BY104" s="160" t="str">
        <f>IF(BY103="","",BX103)</f>
        <v> </v>
      </c>
      <c r="BZ104" s="160" t="str">
        <f t="shared" si="17"/>
        <v> </v>
      </c>
      <c r="CA104" s="200"/>
      <c r="CB104" s="74" t="str">
        <f t="shared" si="18"/>
        <v>св</v>
      </c>
      <c r="CC104" s="200"/>
      <c r="CD104" s="243"/>
      <c r="CG104" s="180" t="str">
        <f>IF(CG103="","",CF103)</f>
        <v> </v>
      </c>
      <c r="CH104" s="200" t="s">
        <v>194</v>
      </c>
      <c r="CI104" s="182"/>
      <c r="CJ104" s="49" t="s">
        <v>195</v>
      </c>
      <c r="CK104" s="235"/>
      <c r="CL104" s="180" t="str">
        <f>IF(CL103="","",CK103)</f>
        <v> </v>
      </c>
      <c r="CM104" s="49" t="s">
        <v>194</v>
      </c>
      <c r="CN104" s="49"/>
      <c r="CQ104" s="180" t="str">
        <f>IF(CQ103="","",CP103)</f>
        <v> </v>
      </c>
      <c r="CR104" s="49" t="s">
        <v>194</v>
      </c>
      <c r="CS104" s="234"/>
      <c r="CV104" s="180" t="str">
        <f>IF(CV103="","",CU103)</f>
        <v> </v>
      </c>
      <c r="CW104" s="49" t="s">
        <v>194</v>
      </c>
      <c r="CX104" s="49"/>
      <c r="CY104" s="49" t="s">
        <v>195</v>
      </c>
      <c r="CZ104" s="49"/>
      <c r="DA104" s="180" t="str">
        <f>IF(DA103="","",CZ103)</f>
        <v> </v>
      </c>
      <c r="DB104" s="49" t="s">
        <v>194</v>
      </c>
      <c r="DC104" s="49"/>
      <c r="DD104" s="49" t="s">
        <v>195</v>
      </c>
      <c r="DE104" s="49"/>
      <c r="DF104" s="49"/>
      <c r="DG104" s="49"/>
      <c r="DH104" s="49"/>
    </row>
    <row r="105" ht="13.5" hidden="1" customHeight="1">
      <c r="A105" s="54"/>
      <c r="B105" s="187">
        <v>50.0</v>
      </c>
      <c r="C105" s="188" t="str">
        <f>(VLOOKUP($B105,'Пр.взв'!$D$6:$J$63,2,0))</f>
        <v>#N/A</v>
      </c>
      <c r="D105" s="189" t="str">
        <f>(VLOOKUP($B105,'Пр.взв'!$D$6:$J$63,5,0))</f>
        <v>#N/A</v>
      </c>
      <c r="E105" s="190" t="str">
        <f>(VLOOKUP($B105,'Пр.взв'!$D$6:$M$63,8,0))</f>
        <v>#N/A</v>
      </c>
      <c r="F105" s="130"/>
      <c r="G105" s="134"/>
      <c r="H105" s="132"/>
      <c r="I105" s="136"/>
      <c r="J105" s="133" t="str">
        <f>IF(H105="Х","Х",IF($AC105&lt;6," ","Х"))</f>
        <v> </v>
      </c>
      <c r="K105" s="134"/>
      <c r="L105" s="133" t="str">
        <f>IF(J105="Х","Х",IF(K105&lt;3," ",IF($AC105&lt;6," ","Х")))</f>
        <v> </v>
      </c>
      <c r="M105" s="134"/>
      <c r="N105" s="133" t="str">
        <f>IF(L105="Х","Х",IF(M105&lt;3," ",IF($AC105&lt;6," ","Х")))</f>
        <v> </v>
      </c>
      <c r="O105" s="134"/>
      <c r="P105" s="133" t="str">
        <f>IF(N105="Х","Х",IF(O105&lt;3," ",IF($AC105&lt;6," ","Х")))</f>
        <v> </v>
      </c>
      <c r="Q105" s="134"/>
      <c r="R105" s="133" t="str">
        <f>IF(P105="Х","Х",IF(Q105&lt;3," ",IF($AC105&lt;6," ","Х")))</f>
        <v> </v>
      </c>
      <c r="S105" s="134"/>
      <c r="T105" s="133" t="str">
        <f>IF(R105="Х","Х",IF(S105&lt;3," ",IF($AC105&lt;6," ","Х")))</f>
        <v> </v>
      </c>
      <c r="U105" s="135"/>
      <c r="V105" s="133" t="str">
        <f>IF(T105="Х","Х",IF(U105&lt;3," ",IF($AC105&lt;6," ","Х")))</f>
        <v> </v>
      </c>
      <c r="W105" s="135"/>
      <c r="X105" s="133" t="str">
        <f>IF(V105="А1",$AZ$7,IF(V105="Б2",$AZ$6,IF(V105="Б1",$BA$7,IF(V105="А2",$BA$6,IF(V105="Х","Х",IF(V105&lt;6," "," "))))))</f>
        <v> </v>
      </c>
      <c r="Y105" s="136"/>
      <c r="Z105" s="133" t="str">
        <f>IF(V105="Х","Х",IF(ISBLANK(Y105),"",IF(Y105&gt;2.5," ",IF(B105=BB$6,BB$7,BB$6))))</f>
        <v/>
      </c>
      <c r="AA105" s="136"/>
      <c r="AB105" s="240" t="str">
        <f>IF(H105="Х",F$5,IF(J105="Х",H$5,IF(L105="Х",J$5,IF(N105="Х",L$5,IF(P105="Х",N$5,IF(R105="Х",P$5,IF(T105="Х",R$5,IF(X105="Х",T$5,""))))))))</f>
        <v/>
      </c>
      <c r="AC105" s="138">
        <f>SUM(G105+I105+K105+M105+O105+Q105+S105+U105+Y105+AA105)</f>
        <v>0</v>
      </c>
      <c r="AD105" s="241" t="str">
        <f>AF105</f>
        <v>25-71</v>
      </c>
      <c r="AE105" s="140" t="str">
        <f>AD105</f>
        <v>25-71</v>
      </c>
      <c r="AF105" s="141" t="str">
        <f>COUNTIF(AG$6:AG$148,"&gt;"&amp;AG$6:AG$148)+1&amp;REPT("-"&amp;COUNTIF(AG$6:AG$148,"&gt;="&amp;AG$6:AG$148),COUNTIF(AG$6:AG$148,AG105)&gt;1)</f>
        <v>25-71</v>
      </c>
      <c r="AG105" s="142">
        <f>(AR105*100)+(AP105*10)-AC105</f>
        <v>80</v>
      </c>
      <c r="AH105" s="143" t="str">
        <f>IF(OR(F105="Х",F105="св")," ",IF(AND(G105&gt;=0,G105&lt;3),"1"," "))</f>
        <v>1</v>
      </c>
      <c r="AI105" s="90" t="str">
        <f>IF(OR(H105="Х",H105="св")," ",IF(AND(I105&gt;=0,I105&lt;3),"1"," "))</f>
        <v>1</v>
      </c>
      <c r="AJ105" s="90" t="str">
        <f>IF(OR(J105="Х",J105="св")," ",IF(AND(K105&gt;=0,K105&lt;3),"1"," "))</f>
        <v>1</v>
      </c>
      <c r="AK105" s="90" t="str">
        <f>IF(OR(L105="Х",L105="св")," ",IF(AND(M105&gt;=0,M105&lt;3),"1"," "))</f>
        <v>1</v>
      </c>
      <c r="AL105" s="90" t="str">
        <f>IF(OR(N105="Х",N105="св")," ",IF(AND(O105&gt;=0,O105&lt;3),"1"," "))</f>
        <v>1</v>
      </c>
      <c r="AM105" s="90" t="str">
        <f>IF(OR(P105="Х",P105="св")," ",IF(AND(Q105&gt;=0,Q105&lt;3),"1"," "))</f>
        <v>1</v>
      </c>
      <c r="AN105" s="90" t="str">
        <f>IF(OR(R105="Х",R105="св")," ",IF(AND(S105&gt;=0,S105&lt;3),"1"," "))</f>
        <v>1</v>
      </c>
      <c r="AO105" s="90" t="str">
        <f>IF(OR(T105="Х",T105="св")," ",IF(AND(U105&gt;=0,U105&lt;3),"1"," "))</f>
        <v>1</v>
      </c>
      <c r="AP105" s="90">
        <f>COUNTIF(AH105:AO106,1)</f>
        <v>8</v>
      </c>
      <c r="AQ105" s="90">
        <f>AG105-AC105</f>
        <v>80</v>
      </c>
      <c r="AR105" s="144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0" t="str">
        <f>COUNTIF(AG$6:AG$134,"&gt;"&amp;AG$6:AG$134)+1&amp;REPT("-"&amp;COUNTIF(AG$6:AG$134,"&gt;="&amp;AG$6:AG$134),COUNTIF(AG$6:AG$134,AG105)&gt;1)</f>
        <v>25-64</v>
      </c>
      <c r="AT105" s="143" t="str">
        <f t="shared" ref="AT105:AW105" si="55">COUNTIF(AU$6:AU$134,"&gt;"&amp;AU$6:AU$134)+1&amp;REPT("-"&amp;COUNTIF(AU$6:AU$134,"&gt;="&amp;AU$6:AU$134),COUNTIF(AU$6:AU$134,AU105)&gt;1)</f>
        <v>1-64</v>
      </c>
      <c r="AU105" s="143" t="str">
        <f t="shared" si="55"/>
        <v>1-0</v>
      </c>
      <c r="AV105" s="143" t="str">
        <f t="shared" si="55"/>
        <v>1</v>
      </c>
      <c r="AW105" s="143" t="str">
        <f t="shared" si="55"/>
        <v>15</v>
      </c>
      <c r="AX105" s="145">
        <f>IF(X105="Х","Х",IF(Y105&lt;3,B105,"Х"))</f>
        <v>50</v>
      </c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195">
        <v>50.0</v>
      </c>
      <c r="BN105" s="196"/>
      <c r="BO105" s="153" t="str">
        <f>IF(BM105&lt;BN105,BM105,"")</f>
        <v/>
      </c>
      <c r="BP105" s="196" t="s">
        <v>195</v>
      </c>
      <c r="BQ105" s="197"/>
      <c r="BR105" s="198" t="s">
        <v>195</v>
      </c>
      <c r="BS105" s="196"/>
      <c r="BT105" s="175" t="str">
        <f>IF(BR105&lt;BS105,BR105,"")</f>
        <v/>
      </c>
      <c r="BU105" s="196" t="s">
        <v>195</v>
      </c>
      <c r="BV105" s="196"/>
      <c r="BW105" s="199">
        <v>50.0</v>
      </c>
      <c r="BX105" s="74" t="s">
        <v>194</v>
      </c>
      <c r="BY105" s="160">
        <f t="array" ref="BY105">IF(BW105&lt;BX105,BW105,"")</f>
        <v>50</v>
      </c>
      <c r="BZ105" s="160">
        <f t="shared" si="17"/>
        <v>50</v>
      </c>
      <c r="CA105" s="74"/>
      <c r="CB105" s="74" t="str">
        <f t="shared" si="18"/>
        <v>св</v>
      </c>
      <c r="CC105" s="200"/>
      <c r="CD105" s="243"/>
      <c r="CE105" s="200">
        <v>50.0</v>
      </c>
      <c r="CF105" s="25" t="s">
        <v>194</v>
      </c>
      <c r="CG105" s="153">
        <f t="array" ref="CG105">IF(CE105&lt;CF105,CE105,"")</f>
        <v>50</v>
      </c>
      <c r="CH105" s="74">
        <v>50.0</v>
      </c>
      <c r="CI105" s="182"/>
      <c r="CJ105" s="93">
        <v>50.0</v>
      </c>
      <c r="CK105" s="233" t="s">
        <v>194</v>
      </c>
      <c r="CL105" s="153">
        <f t="array" ref="CL105">IF(CJ105&lt;CK105,CJ105,"")</f>
        <v>50</v>
      </c>
      <c r="CM105" s="49">
        <v>50.0</v>
      </c>
      <c r="CN105" s="49"/>
      <c r="CO105" s="74">
        <v>50.0</v>
      </c>
      <c r="CP105" s="200" t="s">
        <v>194</v>
      </c>
      <c r="CQ105" s="153">
        <f t="array" ref="CQ105">IF(CO105&lt;CP105,CO105,"")</f>
        <v>50</v>
      </c>
      <c r="CR105" s="93">
        <v>50.0</v>
      </c>
      <c r="CS105" s="234"/>
      <c r="CT105" s="200">
        <v>50.0</v>
      </c>
      <c r="CU105" s="74" t="s">
        <v>194</v>
      </c>
      <c r="CV105" s="153">
        <f t="array" ref="CV105">IF(CT105&lt;CU105,CT105,"")</f>
        <v>50</v>
      </c>
      <c r="CW105" s="49">
        <v>50.0</v>
      </c>
      <c r="CX105" s="49"/>
      <c r="CY105" s="49">
        <v>50.0</v>
      </c>
      <c r="CZ105" s="49" t="s">
        <v>194</v>
      </c>
      <c r="DA105" s="153">
        <f t="array" ref="DA105">IF(CY105&lt;CZ105,CY105,"")</f>
        <v>50</v>
      </c>
      <c r="DB105" s="49">
        <v>50.0</v>
      </c>
      <c r="DC105" s="49"/>
      <c r="DD105" s="49">
        <v>50.0</v>
      </c>
      <c r="DE105" s="49"/>
      <c r="DF105" s="49"/>
      <c r="DG105" s="49"/>
      <c r="DH105" s="49"/>
    </row>
    <row r="106" ht="13.5" hidden="1" customHeight="1">
      <c r="A106" s="54"/>
      <c r="B106" s="165"/>
      <c r="C106" s="165"/>
      <c r="D106" s="165"/>
      <c r="E106" s="165"/>
      <c r="F106" s="166"/>
      <c r="G106" s="167"/>
      <c r="H106" s="168"/>
      <c r="I106" s="167"/>
      <c r="J106" s="168"/>
      <c r="K106" s="167"/>
      <c r="L106" s="168"/>
      <c r="M106" s="167"/>
      <c r="N106" s="168"/>
      <c r="O106" s="167"/>
      <c r="P106" s="168"/>
      <c r="Q106" s="167"/>
      <c r="R106" s="168"/>
      <c r="S106" s="167"/>
      <c r="T106" s="168"/>
      <c r="U106" s="169"/>
      <c r="V106" s="168"/>
      <c r="W106" s="169"/>
      <c r="X106" s="168"/>
      <c r="Y106" s="167"/>
      <c r="Z106" s="168"/>
      <c r="AA106" s="167"/>
      <c r="AB106" s="166"/>
      <c r="AC106" s="165"/>
      <c r="AD106" s="168"/>
      <c r="AE106" s="170"/>
      <c r="AF106" s="171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178"/>
      <c r="BO106" s="175" t="str">
        <f>IF(BO105="","",BN105)</f>
        <v/>
      </c>
      <c r="BP106" s="175" t="s">
        <v>195</v>
      </c>
      <c r="BQ106" s="197"/>
      <c r="BT106" s="175" t="str">
        <f>IF(BT105="","",BS105)</f>
        <v/>
      </c>
      <c r="BU106" s="175" t="s">
        <v>195</v>
      </c>
      <c r="BV106" s="196"/>
      <c r="BW106" s="178"/>
      <c r="BY106" s="160" t="str">
        <f>IF(BY105="","",BX105)</f>
        <v> </v>
      </c>
      <c r="BZ106" s="160" t="str">
        <f t="shared" si="17"/>
        <v> </v>
      </c>
      <c r="CA106" s="200"/>
      <c r="CB106" s="74" t="str">
        <f t="shared" si="18"/>
        <v>св</v>
      </c>
      <c r="CC106" s="200"/>
      <c r="CD106" s="243"/>
      <c r="CG106" s="180" t="str">
        <f>IF(CG105="","",CF105)</f>
        <v> </v>
      </c>
      <c r="CH106" s="200" t="s">
        <v>194</v>
      </c>
      <c r="CI106" s="182"/>
      <c r="CJ106" s="49" t="s">
        <v>195</v>
      </c>
      <c r="CK106" s="235"/>
      <c r="CL106" s="180" t="str">
        <f>IF(CL105="","",CK105)</f>
        <v> </v>
      </c>
      <c r="CM106" s="49" t="s">
        <v>194</v>
      </c>
      <c r="CN106" s="49"/>
      <c r="CQ106" s="180" t="str">
        <f>IF(CQ105="","",CP105)</f>
        <v> </v>
      </c>
      <c r="CR106" s="49" t="s">
        <v>194</v>
      </c>
      <c r="CS106" s="234"/>
      <c r="CV106" s="180" t="str">
        <f>IF(CV105="","",CU105)</f>
        <v> </v>
      </c>
      <c r="CW106" s="49" t="s">
        <v>194</v>
      </c>
      <c r="CX106" s="49"/>
      <c r="CY106" s="49" t="s">
        <v>195</v>
      </c>
      <c r="CZ106" s="49"/>
      <c r="DA106" s="180" t="str">
        <f>IF(DA105="","",CZ105)</f>
        <v> </v>
      </c>
      <c r="DB106" s="49" t="s">
        <v>194</v>
      </c>
      <c r="DC106" s="49"/>
      <c r="DD106" s="49" t="s">
        <v>195</v>
      </c>
      <c r="DE106" s="49"/>
      <c r="DF106" s="49"/>
      <c r="DG106" s="49"/>
      <c r="DH106" s="49"/>
    </row>
    <row r="107" ht="13.5" hidden="1" customHeight="1">
      <c r="A107" s="54"/>
      <c r="B107" s="187">
        <v>51.0</v>
      </c>
      <c r="C107" s="188" t="str">
        <f>(VLOOKUP($B107,'Пр.взв'!$D$6:$J$63,2,0))</f>
        <v>#N/A</v>
      </c>
      <c r="D107" s="189" t="str">
        <f>(VLOOKUP($B107,'Пр.взв'!$D$6:$J$63,5,0))</f>
        <v>#N/A</v>
      </c>
      <c r="E107" s="190" t="str">
        <f>(VLOOKUP($B107,'Пр.взв'!$D$6:$M$63,8,0))</f>
        <v>#N/A</v>
      </c>
      <c r="F107" s="130"/>
      <c r="G107" s="255"/>
      <c r="H107" s="132"/>
      <c r="I107" s="255"/>
      <c r="J107" s="133" t="str">
        <f>IF(H107="Х","Х",IF($AC107&lt;6," ","Х"))</f>
        <v> </v>
      </c>
      <c r="K107" s="134"/>
      <c r="L107" s="133" t="str">
        <f>IF(J107="Х","Х",IF(K107&lt;3," ",IF($AC107&lt;6," ","Х")))</f>
        <v> </v>
      </c>
      <c r="M107" s="134"/>
      <c r="N107" s="133" t="str">
        <f>IF(L107="Х","Х",IF(M107&lt;3," ",IF($AC107&lt;6," ","Х")))</f>
        <v> </v>
      </c>
      <c r="O107" s="134"/>
      <c r="P107" s="133" t="str">
        <f>IF(N107="Х","Х",IF(O107&lt;3," ",IF($AC107&lt;6," ","Х")))</f>
        <v> </v>
      </c>
      <c r="Q107" s="134"/>
      <c r="R107" s="133" t="str">
        <f>IF(P107="Х","Х",IF(Q107&lt;3," ",IF($AC107&lt;6," ","Х")))</f>
        <v> </v>
      </c>
      <c r="S107" s="134"/>
      <c r="T107" s="133" t="str">
        <f>IF(R107="Х","Х",IF(S107&lt;3," ",IF($AC107&lt;6," ","Х")))</f>
        <v> </v>
      </c>
      <c r="U107" s="135"/>
      <c r="V107" s="133" t="str">
        <f>IF(T107="Х","Х",IF(U107&lt;3," ",IF($AC107&lt;6," ","Х")))</f>
        <v> </v>
      </c>
      <c r="W107" s="135"/>
      <c r="X107" s="133" t="str">
        <f>IF(V107="А1",$AZ$7,IF(V107="Б2",$AZ$6,IF(V107="Б1",$BA$7,IF(V107="А2",$BA$6,IF(V107="Х","Х",IF(V107&lt;6," "," "))))))</f>
        <v> </v>
      </c>
      <c r="Y107" s="136"/>
      <c r="Z107" s="133" t="str">
        <f>IF(V107="Х","Х",IF(ISBLANK(Y107),"",IF(Y107&gt;2.5," ",IF(B107=BB$6,BB$7,BB$6))))</f>
        <v/>
      </c>
      <c r="AA107" s="136"/>
      <c r="AB107" s="240" t="str">
        <f>IF(H107="Х",F$5,IF(J107="Х",H$5,IF(L107="Х",J$5,IF(N107="Х",L$5,IF(P107="Х",N$5,IF(R107="Х",P$5,IF(T107="Х",R$5,IF(X107="Х",T$5,""))))))))</f>
        <v/>
      </c>
      <c r="AC107" s="138">
        <f>SUM(G107+I107+K107+M107+O107+Q107+S107+U107+Y107+AA107)</f>
        <v>0</v>
      </c>
      <c r="AD107" s="241" t="str">
        <f>AF107</f>
        <v>25-71</v>
      </c>
      <c r="AE107" s="140" t="str">
        <f>AD107</f>
        <v>25-71</v>
      </c>
      <c r="AF107" s="141" t="str">
        <f>COUNTIF(AG$6:AG$148,"&gt;"&amp;AG$6:AG$148)+1&amp;REPT("-"&amp;COUNTIF(AG$6:AG$148,"&gt;="&amp;AG$6:AG$148),COUNTIF(AG$6:AG$148,AG107)&gt;1)</f>
        <v>25-71</v>
      </c>
      <c r="AG107" s="142">
        <f>(AR107*100)+(AP107*10)-AC107</f>
        <v>80</v>
      </c>
      <c r="AH107" s="143" t="str">
        <f>IF(OR(F107="Х",F107="св")," ",IF(AND(G107&gt;=0,G107&lt;3),"1"," "))</f>
        <v>1</v>
      </c>
      <c r="AI107" s="90" t="str">
        <f>IF(OR(H107="Х",H107="св")," ",IF(AND(I107&gt;=0,I107&lt;3),"1"," "))</f>
        <v>1</v>
      </c>
      <c r="AJ107" s="90" t="str">
        <f>IF(OR(J107="Х",J107="св")," ",IF(AND(K107&gt;=0,K107&lt;3),"1"," "))</f>
        <v>1</v>
      </c>
      <c r="AK107" s="90" t="str">
        <f>IF(OR(L107="Х",L107="св")," ",IF(AND(M107&gt;=0,M107&lt;3),"1"," "))</f>
        <v>1</v>
      </c>
      <c r="AL107" s="90" t="str">
        <f>IF(OR(N107="Х",N107="св")," ",IF(AND(O107&gt;=0,O107&lt;3),"1"," "))</f>
        <v>1</v>
      </c>
      <c r="AM107" s="90" t="str">
        <f>IF(OR(P107="Х",P107="св")," ",IF(AND(Q107&gt;=0,Q107&lt;3),"1"," "))</f>
        <v>1</v>
      </c>
      <c r="AN107" s="90" t="str">
        <f>IF(OR(R107="Х",R107="св")," ",IF(AND(S107&gt;=0,S107&lt;3),"1"," "))</f>
        <v>1</v>
      </c>
      <c r="AO107" s="90" t="str">
        <f>IF(OR(T107="Х",T107="св")," ",IF(AND(U107&gt;=0,U107&lt;3),"1"," "))</f>
        <v>1</v>
      </c>
      <c r="AP107" s="90">
        <f>COUNTIF(AH107:AO108,1)</f>
        <v>8</v>
      </c>
      <c r="AQ107" s="90">
        <f>AG107-AC107</f>
        <v>80</v>
      </c>
      <c r="AR107" s="144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0" t="str">
        <f>COUNTIF(AG$6:AG$134,"&gt;"&amp;AG$6:AG$134)+1&amp;REPT("-"&amp;COUNTIF(AG$6:AG$134,"&gt;="&amp;AG$6:AG$134),COUNTIF(AG$6:AG$134,AG107)&gt;1)</f>
        <v>25-64</v>
      </c>
      <c r="AT107" s="143" t="str">
        <f t="shared" ref="AT107:AW107" si="56">COUNTIF(AU$6:AU$134,"&gt;"&amp;AU$6:AU$134)+1&amp;REPT("-"&amp;COUNTIF(AU$6:AU$134,"&gt;="&amp;AU$6:AU$134),COUNTIF(AU$6:AU$134,AU107)&gt;1)</f>
        <v>1-64</v>
      </c>
      <c r="AU107" s="143" t="str">
        <f t="shared" si="56"/>
        <v>1-0</v>
      </c>
      <c r="AV107" s="143" t="str">
        <f t="shared" si="56"/>
        <v>1</v>
      </c>
      <c r="AW107" s="143" t="str">
        <f t="shared" si="56"/>
        <v>14</v>
      </c>
      <c r="AX107" s="145">
        <f>IF(X107="Х","Х",IF(Y107&lt;3,B107,"Х"))</f>
        <v>51</v>
      </c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195">
        <v>51.0</v>
      </c>
      <c r="BN107" s="196"/>
      <c r="BO107" s="153" t="str">
        <f>IF(BM107&lt;BN107,BM107,"")</f>
        <v/>
      </c>
      <c r="BP107" s="196" t="s">
        <v>195</v>
      </c>
      <c r="BQ107" s="197"/>
      <c r="BR107" s="198" t="s">
        <v>195</v>
      </c>
      <c r="BS107" s="196"/>
      <c r="BT107" s="175" t="str">
        <f>IF(BR107&lt;BS107,BR107,"")</f>
        <v/>
      </c>
      <c r="BU107" s="196" t="s">
        <v>195</v>
      </c>
      <c r="BV107" s="196"/>
      <c r="BW107" s="199">
        <v>51.0</v>
      </c>
      <c r="BX107" s="74" t="s">
        <v>194</v>
      </c>
      <c r="BY107" s="160">
        <f t="array" ref="BY107">IF(BW107&lt;BX107,BW107,"")</f>
        <v>51</v>
      </c>
      <c r="BZ107" s="160">
        <f t="shared" si="17"/>
        <v>51</v>
      </c>
      <c r="CA107" s="74"/>
      <c r="CB107" s="74" t="str">
        <f t="shared" si="18"/>
        <v>св</v>
      </c>
      <c r="CC107" s="200"/>
      <c r="CD107" s="243"/>
      <c r="CE107" s="200">
        <v>51.0</v>
      </c>
      <c r="CF107" s="25" t="s">
        <v>194</v>
      </c>
      <c r="CG107" s="153">
        <f t="array" ref="CG107">IF(CE107&lt;CF107,CE107,"")</f>
        <v>51</v>
      </c>
      <c r="CH107" s="74">
        <v>51.0</v>
      </c>
      <c r="CI107" s="182"/>
      <c r="CJ107" s="93">
        <v>51.0</v>
      </c>
      <c r="CK107" s="233" t="s">
        <v>194</v>
      </c>
      <c r="CL107" s="153">
        <f t="array" ref="CL107">IF(CJ107&lt;CK107,CJ107,"")</f>
        <v>51</v>
      </c>
      <c r="CM107" s="49">
        <v>51.0</v>
      </c>
      <c r="CN107" s="49"/>
      <c r="CO107" s="74">
        <v>51.0</v>
      </c>
      <c r="CP107" s="200" t="s">
        <v>194</v>
      </c>
      <c r="CQ107" s="153">
        <f t="array" ref="CQ107">IF(CO107&lt;CP107,CO107,"")</f>
        <v>51</v>
      </c>
      <c r="CR107" s="93">
        <v>51.0</v>
      </c>
      <c r="CS107" s="234"/>
      <c r="CT107" s="200">
        <v>51.0</v>
      </c>
      <c r="CU107" s="74" t="s">
        <v>194</v>
      </c>
      <c r="CV107" s="153">
        <f t="array" ref="CV107">IF(CT107&lt;CU107,CT107,"")</f>
        <v>51</v>
      </c>
      <c r="CW107" s="49">
        <v>51.0</v>
      </c>
      <c r="CX107" s="49"/>
      <c r="CY107" s="49">
        <v>51.0</v>
      </c>
      <c r="CZ107" s="49" t="s">
        <v>194</v>
      </c>
      <c r="DA107" s="153">
        <f t="array" ref="DA107">IF(CY107&lt;CZ107,CY107,"")</f>
        <v>51</v>
      </c>
      <c r="DB107" s="49">
        <v>51.0</v>
      </c>
      <c r="DC107" s="49"/>
      <c r="DD107" s="49">
        <v>51.0</v>
      </c>
      <c r="DE107" s="49"/>
      <c r="DF107" s="49"/>
      <c r="DG107" s="49"/>
      <c r="DH107" s="49"/>
    </row>
    <row r="108" ht="13.5" hidden="1" customHeight="1">
      <c r="A108" s="54"/>
      <c r="B108" s="165"/>
      <c r="C108" s="165"/>
      <c r="D108" s="165"/>
      <c r="E108" s="165"/>
      <c r="F108" s="166"/>
      <c r="G108" s="167"/>
      <c r="H108" s="168"/>
      <c r="I108" s="167"/>
      <c r="J108" s="168"/>
      <c r="K108" s="167"/>
      <c r="L108" s="168"/>
      <c r="M108" s="167"/>
      <c r="N108" s="168"/>
      <c r="O108" s="167"/>
      <c r="P108" s="168"/>
      <c r="Q108" s="167"/>
      <c r="R108" s="168"/>
      <c r="S108" s="167"/>
      <c r="T108" s="168"/>
      <c r="U108" s="169"/>
      <c r="V108" s="168"/>
      <c r="W108" s="169"/>
      <c r="X108" s="168"/>
      <c r="Y108" s="167"/>
      <c r="Z108" s="168"/>
      <c r="AA108" s="167"/>
      <c r="AB108" s="166"/>
      <c r="AC108" s="165"/>
      <c r="AD108" s="168"/>
      <c r="AE108" s="170"/>
      <c r="AF108" s="171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178"/>
      <c r="BO108" s="175" t="str">
        <f>IF(BO107="","",BN107)</f>
        <v/>
      </c>
      <c r="BP108" s="175" t="s">
        <v>195</v>
      </c>
      <c r="BQ108" s="197"/>
      <c r="BT108" s="175" t="str">
        <f>IF(BT107="","",BS107)</f>
        <v/>
      </c>
      <c r="BU108" s="175" t="s">
        <v>195</v>
      </c>
      <c r="BV108" s="196"/>
      <c r="BW108" s="178"/>
      <c r="BY108" s="160" t="str">
        <f>IF(BY107="","",BX107)</f>
        <v> </v>
      </c>
      <c r="BZ108" s="160" t="str">
        <f t="shared" si="17"/>
        <v> </v>
      </c>
      <c r="CA108" s="200"/>
      <c r="CB108" s="74" t="str">
        <f t="shared" si="18"/>
        <v>св</v>
      </c>
      <c r="CC108" s="200"/>
      <c r="CD108" s="243"/>
      <c r="CG108" s="180" t="str">
        <f>IF(CG107="","",CF107)</f>
        <v> </v>
      </c>
      <c r="CH108" s="200" t="s">
        <v>194</v>
      </c>
      <c r="CI108" s="182"/>
      <c r="CJ108" s="49" t="s">
        <v>195</v>
      </c>
      <c r="CK108" s="235"/>
      <c r="CL108" s="180" t="str">
        <f>IF(CL107="","",CK107)</f>
        <v> </v>
      </c>
      <c r="CM108" s="49" t="s">
        <v>194</v>
      </c>
      <c r="CN108" s="49"/>
      <c r="CQ108" s="180" t="str">
        <f>IF(CQ107="","",CP107)</f>
        <v> </v>
      </c>
      <c r="CR108" s="49" t="s">
        <v>194</v>
      </c>
      <c r="CS108" s="234"/>
      <c r="CV108" s="180" t="str">
        <f>IF(CV107="","",CU107)</f>
        <v> </v>
      </c>
      <c r="CW108" s="49" t="s">
        <v>194</v>
      </c>
      <c r="CX108" s="49"/>
      <c r="CY108" s="49" t="s">
        <v>195</v>
      </c>
      <c r="CZ108" s="49"/>
      <c r="DA108" s="180" t="str">
        <f>IF(DA107="","",CZ107)</f>
        <v> </v>
      </c>
      <c r="DB108" s="49" t="s">
        <v>194</v>
      </c>
      <c r="DC108" s="49"/>
      <c r="DD108" s="49" t="s">
        <v>195</v>
      </c>
      <c r="DE108" s="49"/>
      <c r="DF108" s="49"/>
      <c r="DG108" s="49"/>
      <c r="DH108" s="49"/>
    </row>
    <row r="109" ht="13.5" hidden="1" customHeight="1">
      <c r="A109" s="54"/>
      <c r="B109" s="187">
        <v>52.0</v>
      </c>
      <c r="C109" s="188" t="str">
        <f>(VLOOKUP($B109,'Пр.взв'!$D$6:$J$63,2,0))</f>
        <v>#N/A</v>
      </c>
      <c r="D109" s="189" t="str">
        <f>(VLOOKUP($B109,'Пр.взв'!$D$6:$J$63,5,0))</f>
        <v>#N/A</v>
      </c>
      <c r="E109" s="190" t="str">
        <f>(VLOOKUP($B109,'Пр.взв'!$D$6:$M$63,8,0))</f>
        <v>#N/A</v>
      </c>
      <c r="F109" s="130"/>
      <c r="G109" s="134"/>
      <c r="H109" s="132"/>
      <c r="I109" s="134"/>
      <c r="J109" s="133" t="str">
        <f>IF(H109="Х","Х",IF($AC109&lt;6," ","Х"))</f>
        <v> </v>
      </c>
      <c r="K109" s="134"/>
      <c r="L109" s="133" t="str">
        <f>IF(J109="Х","Х",IF(K109&lt;3," ",IF($AC109&lt;6," ","Х")))</f>
        <v> </v>
      </c>
      <c r="M109" s="134"/>
      <c r="N109" s="133" t="str">
        <f>IF(L109="Х","Х",IF(M109&lt;3," ",IF($AC109&lt;6," ","Х")))</f>
        <v> </v>
      </c>
      <c r="O109" s="134"/>
      <c r="P109" s="133" t="str">
        <f>IF(N109="Х","Х",IF(O109&lt;3," ",IF($AC109&lt;6," ","Х")))</f>
        <v> </v>
      </c>
      <c r="Q109" s="134"/>
      <c r="R109" s="133" t="str">
        <f>IF(P109="Х","Х",IF(Q109&lt;3," ",IF($AC109&lt;6," ","Х")))</f>
        <v> </v>
      </c>
      <c r="S109" s="134"/>
      <c r="T109" s="133" t="str">
        <f>IF(R109="Х","Х",IF(S109&lt;3," ",IF($AC109&lt;6," ","Х")))</f>
        <v> </v>
      </c>
      <c r="U109" s="135"/>
      <c r="V109" s="133" t="str">
        <f>IF(T109="Х","Х",IF(U109&lt;3," ",IF($AC109&lt;6," ","Х")))</f>
        <v> </v>
      </c>
      <c r="W109" s="135"/>
      <c r="X109" s="133" t="str">
        <f>IF(V109="А1",$AZ$7,IF(V109="Б2",$AZ$6,IF(V109="Б1",$BA$7,IF(V109="А2",$BA$6,IF(V109="Х","Х",IF(V109&lt;6," "," "))))))</f>
        <v> </v>
      </c>
      <c r="Y109" s="136"/>
      <c r="Z109" s="133" t="str">
        <f>IF(V109="Х","Х",IF(ISBLANK(Y109),"",IF(Y109&gt;2.5," ",IF(B109=BB$6,BB$7,BB$6))))</f>
        <v/>
      </c>
      <c r="AA109" s="136"/>
      <c r="AB109" s="240" t="str">
        <f>IF(H109="Х",F$5,IF(J109="Х",H$5,IF(L109="Х",J$5,IF(N109="Х",L$5,IF(P109="Х",N$5,IF(R109="Х",P$5,IF(T109="Х",R$5,IF(X109="Х",T$5,""))))))))</f>
        <v/>
      </c>
      <c r="AC109" s="138">
        <f>SUM(G109+I109+K109+M109+O109+Q109+S109+U109+Y109+AA109)</f>
        <v>0</v>
      </c>
      <c r="AD109" s="241" t="str">
        <f>AF109</f>
        <v>25-71</v>
      </c>
      <c r="AE109" s="140" t="str">
        <f>AD109</f>
        <v>25-71</v>
      </c>
      <c r="AF109" s="141" t="str">
        <f>COUNTIF(AG$6:AG$148,"&gt;"&amp;AG$6:AG$148)+1&amp;REPT("-"&amp;COUNTIF(AG$6:AG$148,"&gt;="&amp;AG$6:AG$148),COUNTIF(AG$6:AG$148,AG109)&gt;1)</f>
        <v>25-71</v>
      </c>
      <c r="AG109" s="142">
        <f>(AR109*100)+(AP109*10)-AC109</f>
        <v>80</v>
      </c>
      <c r="AH109" s="143" t="str">
        <f>IF(OR(F109="Х",F109="св")," ",IF(AND(G109&gt;=0,G109&lt;3),"1"," "))</f>
        <v>1</v>
      </c>
      <c r="AI109" s="90" t="str">
        <f>IF(OR(H109="Х",H109="св")," ",IF(AND(I109&gt;=0,I109&lt;3),"1"," "))</f>
        <v>1</v>
      </c>
      <c r="AJ109" s="90" t="str">
        <f>IF(OR(J109="Х",J109="св")," ",IF(AND(K109&gt;=0,K109&lt;3),"1"," "))</f>
        <v>1</v>
      </c>
      <c r="AK109" s="90" t="str">
        <f>IF(OR(L109="Х",L109="св")," ",IF(AND(M109&gt;=0,M109&lt;3),"1"," "))</f>
        <v>1</v>
      </c>
      <c r="AL109" s="90" t="str">
        <f>IF(OR(N109="Х",N109="св")," ",IF(AND(O109&gt;=0,O109&lt;3),"1"," "))</f>
        <v>1</v>
      </c>
      <c r="AM109" s="90" t="str">
        <f>IF(OR(P109="Х",P109="св")," ",IF(AND(Q109&gt;=0,Q109&lt;3),"1"," "))</f>
        <v>1</v>
      </c>
      <c r="AN109" s="90" t="str">
        <f>IF(OR(R109="Х",R109="св")," ",IF(AND(S109&gt;=0,S109&lt;3),"1"," "))</f>
        <v>1</v>
      </c>
      <c r="AO109" s="90" t="str">
        <f>IF(OR(T109="Х",T109="св")," ",IF(AND(U109&gt;=0,U109&lt;3),"1"," "))</f>
        <v>1</v>
      </c>
      <c r="AP109" s="90">
        <f>COUNTIF(AH109:AO110,1)</f>
        <v>8</v>
      </c>
      <c r="AQ109" s="90">
        <f>AG109-AC109</f>
        <v>80</v>
      </c>
      <c r="AR109" s="144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0" t="str">
        <f>COUNTIF(AG$6:AG$134,"&gt;"&amp;AG$6:AG$134)+1&amp;REPT("-"&amp;COUNTIF(AG$6:AG$134,"&gt;="&amp;AG$6:AG$134),COUNTIF(AG$6:AG$134,AG109)&gt;1)</f>
        <v>25-64</v>
      </c>
      <c r="AT109" s="143" t="str">
        <f t="shared" ref="AT109:AW109" si="57">COUNTIF(AU$6:AU$134,"&gt;"&amp;AU$6:AU$134)+1&amp;REPT("-"&amp;COUNTIF(AU$6:AU$134,"&gt;="&amp;AU$6:AU$134),COUNTIF(AU$6:AU$134,AU109)&gt;1)</f>
        <v>1-64</v>
      </c>
      <c r="AU109" s="143" t="str">
        <f t="shared" si="57"/>
        <v>1-0</v>
      </c>
      <c r="AV109" s="143" t="str">
        <f t="shared" si="57"/>
        <v>1</v>
      </c>
      <c r="AW109" s="143" t="str">
        <f t="shared" si="57"/>
        <v>13</v>
      </c>
      <c r="AX109" s="145">
        <f>IF(X109="Х","Х",IF(Y109&lt;3,B109,"Х"))</f>
        <v>52</v>
      </c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195">
        <v>52.0</v>
      </c>
      <c r="BN109" s="196"/>
      <c r="BO109" s="153" t="str">
        <f>IF(BM109&lt;BN109,BM109,"")</f>
        <v/>
      </c>
      <c r="BP109" s="196" t="s">
        <v>195</v>
      </c>
      <c r="BQ109" s="197"/>
      <c r="BR109" s="198" t="s">
        <v>195</v>
      </c>
      <c r="BS109" s="196"/>
      <c r="BT109" s="175" t="str">
        <f>IF(BR109&lt;BS109,BR109,"")</f>
        <v/>
      </c>
      <c r="BU109" s="196" t="s">
        <v>195</v>
      </c>
      <c r="BV109" s="196"/>
      <c r="BW109" s="199">
        <v>52.0</v>
      </c>
      <c r="BX109" s="74" t="s">
        <v>194</v>
      </c>
      <c r="BY109" s="160">
        <f t="array" ref="BY109">IF(BW109&lt;BX109,BW109,"")</f>
        <v>52</v>
      </c>
      <c r="BZ109" s="160">
        <f t="shared" si="17"/>
        <v>52</v>
      </c>
      <c r="CA109" s="74"/>
      <c r="CB109" s="74" t="str">
        <f t="shared" si="18"/>
        <v>св</v>
      </c>
      <c r="CC109" s="200"/>
      <c r="CD109" s="243"/>
      <c r="CE109" s="200">
        <v>52.0</v>
      </c>
      <c r="CF109" s="25" t="s">
        <v>194</v>
      </c>
      <c r="CG109" s="153">
        <f t="array" ref="CG109">IF(CE109&lt;CF109,CE109,"")</f>
        <v>52</v>
      </c>
      <c r="CH109" s="74">
        <v>52.0</v>
      </c>
      <c r="CI109" s="182"/>
      <c r="CJ109" s="93">
        <v>52.0</v>
      </c>
      <c r="CK109" s="233" t="s">
        <v>194</v>
      </c>
      <c r="CL109" s="153">
        <f t="array" ref="CL109">IF(CJ109&lt;CK109,CJ109,"")</f>
        <v>52</v>
      </c>
      <c r="CM109" s="49">
        <v>52.0</v>
      </c>
      <c r="CN109" s="49"/>
      <c r="CO109" s="74">
        <v>52.0</v>
      </c>
      <c r="CP109" s="200" t="s">
        <v>194</v>
      </c>
      <c r="CQ109" s="153">
        <f t="array" ref="CQ109">IF(CO109&lt;CP109,CO109,"")</f>
        <v>52</v>
      </c>
      <c r="CR109" s="93">
        <v>52.0</v>
      </c>
      <c r="CS109" s="234"/>
      <c r="CT109" s="200">
        <v>52.0</v>
      </c>
      <c r="CU109" s="74" t="s">
        <v>194</v>
      </c>
      <c r="CV109" s="153">
        <f t="array" ref="CV109">IF(CT109&lt;CU109,CT109,"")</f>
        <v>52</v>
      </c>
      <c r="CW109" s="49">
        <v>52.0</v>
      </c>
      <c r="CX109" s="49"/>
      <c r="CY109" s="49">
        <v>52.0</v>
      </c>
      <c r="CZ109" s="49" t="s">
        <v>194</v>
      </c>
      <c r="DA109" s="153">
        <f t="array" ref="DA109">IF(CY109&lt;CZ109,CY109,"")</f>
        <v>52</v>
      </c>
      <c r="DB109" s="49">
        <v>52.0</v>
      </c>
      <c r="DC109" s="49"/>
      <c r="DD109" s="49">
        <v>52.0</v>
      </c>
      <c r="DE109" s="49"/>
      <c r="DF109" s="49"/>
      <c r="DG109" s="49"/>
      <c r="DH109" s="49"/>
    </row>
    <row r="110" ht="13.5" hidden="1" customHeight="1">
      <c r="A110" s="54"/>
      <c r="B110" s="165"/>
      <c r="C110" s="165"/>
      <c r="D110" s="165"/>
      <c r="E110" s="165"/>
      <c r="F110" s="166"/>
      <c r="G110" s="167"/>
      <c r="H110" s="168"/>
      <c r="I110" s="167"/>
      <c r="J110" s="168"/>
      <c r="K110" s="167"/>
      <c r="L110" s="168"/>
      <c r="M110" s="167"/>
      <c r="N110" s="168"/>
      <c r="O110" s="167"/>
      <c r="P110" s="168"/>
      <c r="Q110" s="167"/>
      <c r="R110" s="168"/>
      <c r="S110" s="167"/>
      <c r="T110" s="168"/>
      <c r="U110" s="169"/>
      <c r="V110" s="168"/>
      <c r="W110" s="169"/>
      <c r="X110" s="168"/>
      <c r="Y110" s="167"/>
      <c r="Z110" s="168"/>
      <c r="AA110" s="167"/>
      <c r="AB110" s="166"/>
      <c r="AC110" s="165"/>
      <c r="AD110" s="168"/>
      <c r="AE110" s="170"/>
      <c r="AF110" s="171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178"/>
      <c r="BO110" s="175" t="str">
        <f>IF(BO109="","",BN109)</f>
        <v/>
      </c>
      <c r="BP110" s="175" t="s">
        <v>195</v>
      </c>
      <c r="BQ110" s="197"/>
      <c r="BT110" s="175" t="str">
        <f>IF(BT109="","",BS109)</f>
        <v/>
      </c>
      <c r="BU110" s="175" t="s">
        <v>195</v>
      </c>
      <c r="BV110" s="196"/>
      <c r="BW110" s="178"/>
      <c r="BY110" s="160" t="str">
        <f>IF(BY109="","",BX109)</f>
        <v> </v>
      </c>
      <c r="BZ110" s="160" t="str">
        <f t="shared" si="17"/>
        <v> </v>
      </c>
      <c r="CA110" s="200"/>
      <c r="CB110" s="74" t="str">
        <f t="shared" si="18"/>
        <v>св</v>
      </c>
      <c r="CC110" s="200"/>
      <c r="CD110" s="243"/>
      <c r="CG110" s="180" t="str">
        <f>IF(CG109="","",CF109)</f>
        <v> </v>
      </c>
      <c r="CH110" s="200" t="s">
        <v>194</v>
      </c>
      <c r="CI110" s="182"/>
      <c r="CJ110" s="49" t="s">
        <v>195</v>
      </c>
      <c r="CK110" s="235"/>
      <c r="CL110" s="180" t="str">
        <f>IF(CL109="","",CK109)</f>
        <v> </v>
      </c>
      <c r="CM110" s="49" t="s">
        <v>194</v>
      </c>
      <c r="CN110" s="49"/>
      <c r="CQ110" s="180" t="str">
        <f>IF(CQ109="","",CP109)</f>
        <v> </v>
      </c>
      <c r="CR110" s="49" t="s">
        <v>194</v>
      </c>
      <c r="CS110" s="234"/>
      <c r="CV110" s="180" t="str">
        <f>IF(CV109="","",CU109)</f>
        <v> </v>
      </c>
      <c r="CW110" s="49" t="s">
        <v>194</v>
      </c>
      <c r="CX110" s="49"/>
      <c r="CY110" s="49" t="s">
        <v>195</v>
      </c>
      <c r="CZ110" s="49"/>
      <c r="DA110" s="180" t="str">
        <f>IF(DA109="","",CZ109)</f>
        <v> </v>
      </c>
      <c r="DB110" s="49" t="s">
        <v>194</v>
      </c>
      <c r="DC110" s="49"/>
      <c r="DD110" s="49" t="s">
        <v>195</v>
      </c>
      <c r="DE110" s="49"/>
      <c r="DF110" s="49"/>
      <c r="DG110" s="49"/>
      <c r="DH110" s="49"/>
    </row>
    <row r="111" ht="13.5" hidden="1" customHeight="1">
      <c r="A111" s="54"/>
      <c r="B111" s="187">
        <v>53.0</v>
      </c>
      <c r="C111" s="188" t="str">
        <f>(VLOOKUP($B111,'Пр.взв'!$D$6:$J$63,2,0))</f>
        <v>#N/A</v>
      </c>
      <c r="D111" s="189" t="str">
        <f>(VLOOKUP($B111,'Пр.взв'!$D$6:$J$63,5,0))</f>
        <v>#N/A</v>
      </c>
      <c r="E111" s="190" t="str">
        <f>(VLOOKUP($B111,'Пр.взв'!$D$6:$M$63,8,0))</f>
        <v>#N/A</v>
      </c>
      <c r="F111" s="130"/>
      <c r="G111" s="255"/>
      <c r="H111" s="132"/>
      <c r="I111" s="255"/>
      <c r="J111" s="133" t="str">
        <f>IF(H111="Х","Х",IF($AC111&lt;6," ","Х"))</f>
        <v> </v>
      </c>
      <c r="K111" s="134"/>
      <c r="L111" s="133" t="str">
        <f>IF(J111="Х","Х",IF(K111&lt;3," ",IF($AC111&lt;6," ","Х")))</f>
        <v> </v>
      </c>
      <c r="M111" s="134"/>
      <c r="N111" s="133" t="str">
        <f>IF(L111="Х","Х",IF(M111&lt;3," ",IF($AC111&lt;6," ","Х")))</f>
        <v> </v>
      </c>
      <c r="O111" s="134"/>
      <c r="P111" s="133" t="str">
        <f>IF(N111="Х","Х",IF(O111&lt;3," ",IF($AC111&lt;6," ","Х")))</f>
        <v> </v>
      </c>
      <c r="Q111" s="134"/>
      <c r="R111" s="133" t="str">
        <f>IF(P111="Х","Х",IF(Q111&lt;3," ",IF($AC111&lt;6," ","Х")))</f>
        <v> </v>
      </c>
      <c r="S111" s="134"/>
      <c r="T111" s="133" t="str">
        <f>IF(R111="Х","Х",IF(S111&lt;3," ",IF($AC111&lt;6," ","Х")))</f>
        <v> </v>
      </c>
      <c r="U111" s="135"/>
      <c r="V111" s="133" t="str">
        <f>IF(T111="Х","Х",IF(U111&lt;3," ",IF($AC111&lt;6," ","Х")))</f>
        <v> </v>
      </c>
      <c r="W111" s="135"/>
      <c r="X111" s="133" t="str">
        <f>IF(V111="А1",$AZ$7,IF(V111="Б2",$AZ$6,IF(V111="Б1",$BA$7,IF(V111="А2",$BA$6,IF(V111="Х","Х",IF(V111&lt;6," "," "))))))</f>
        <v> </v>
      </c>
      <c r="Y111" s="136"/>
      <c r="Z111" s="133" t="str">
        <f>IF(V111="Х","Х",IF(ISBLANK(Y111),"",IF(Y111&gt;2.5," ",IF(B111=BB$6,BB$7,BB$6))))</f>
        <v/>
      </c>
      <c r="AA111" s="136"/>
      <c r="AB111" s="240" t="str">
        <f>IF(H111="Х",F$5,IF(J111="Х",H$5,IF(L111="Х",J$5,IF(N111="Х",L$5,IF(P111="Х",N$5,IF(R111="Х",P$5,IF(T111="Х",R$5,IF(X111="Х",T$5,""))))))))</f>
        <v/>
      </c>
      <c r="AC111" s="138">
        <f>SUM(G111+I111+K111+M111+O111+Q111+S111+U111+Y111+AA111)</f>
        <v>0</v>
      </c>
      <c r="AD111" s="241" t="str">
        <f>AF111</f>
        <v>25-71</v>
      </c>
      <c r="AE111" s="140" t="str">
        <f>AD111</f>
        <v>25-71</v>
      </c>
      <c r="AF111" s="141" t="str">
        <f>COUNTIF(AG$6:AG$148,"&gt;"&amp;AG$6:AG$148)+1&amp;REPT("-"&amp;COUNTIF(AG$6:AG$148,"&gt;="&amp;AG$6:AG$148),COUNTIF(AG$6:AG$148,AG111)&gt;1)</f>
        <v>25-71</v>
      </c>
      <c r="AG111" s="142">
        <f>(AR111*100)+(AP111*10)-AC111</f>
        <v>80</v>
      </c>
      <c r="AH111" s="143" t="str">
        <f>IF(OR(F111="Х",F111="св")," ",IF(AND(G111&gt;=0,G111&lt;3),"1"," "))</f>
        <v>1</v>
      </c>
      <c r="AI111" s="90" t="str">
        <f>IF(OR(H111="Х",H111="св")," ",IF(AND(I111&gt;=0,I111&lt;3),"1"," "))</f>
        <v>1</v>
      </c>
      <c r="AJ111" s="90" t="str">
        <f>IF(OR(J111="Х",J111="св")," ",IF(AND(K111&gt;=0,K111&lt;3),"1"," "))</f>
        <v>1</v>
      </c>
      <c r="AK111" s="90" t="str">
        <f>IF(OR(L111="Х",L111="св")," ",IF(AND(M111&gt;=0,M111&lt;3),"1"," "))</f>
        <v>1</v>
      </c>
      <c r="AL111" s="90" t="str">
        <f>IF(OR(N111="Х",N111="св")," ",IF(AND(O111&gt;=0,O111&lt;3),"1"," "))</f>
        <v>1</v>
      </c>
      <c r="AM111" s="90" t="str">
        <f>IF(OR(P111="Х",P111="св")," ",IF(AND(Q111&gt;=0,Q111&lt;3),"1"," "))</f>
        <v>1</v>
      </c>
      <c r="AN111" s="90" t="str">
        <f>IF(OR(R111="Х",R111="св")," ",IF(AND(S111&gt;=0,S111&lt;3),"1"," "))</f>
        <v>1</v>
      </c>
      <c r="AO111" s="90" t="str">
        <f>IF(OR(T111="Х",T111="св")," ",IF(AND(U111&gt;=0,U111&lt;3),"1"," "))</f>
        <v>1</v>
      </c>
      <c r="AP111" s="90">
        <f>COUNTIF(AH111:AO112,1)</f>
        <v>8</v>
      </c>
      <c r="AQ111" s="90">
        <f>AG111-AC111</f>
        <v>80</v>
      </c>
      <c r="AR111" s="144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0" t="str">
        <f>COUNTIF(AG$6:AG$134,"&gt;"&amp;AG$6:AG$134)+1&amp;REPT("-"&amp;COUNTIF(AG$6:AG$134,"&gt;="&amp;AG$6:AG$134),COUNTIF(AG$6:AG$134,AG111)&gt;1)</f>
        <v>25-64</v>
      </c>
      <c r="AT111" s="143" t="str">
        <f t="shared" ref="AT111:AW111" si="58">COUNTIF(AU$6:AU$134,"&gt;"&amp;AU$6:AU$134)+1&amp;REPT("-"&amp;COUNTIF(AU$6:AU$134,"&gt;="&amp;AU$6:AU$134),COUNTIF(AU$6:AU$134,AU111)&gt;1)</f>
        <v>1-64</v>
      </c>
      <c r="AU111" s="143" t="str">
        <f t="shared" si="58"/>
        <v>1-0</v>
      </c>
      <c r="AV111" s="143" t="str">
        <f t="shared" si="58"/>
        <v>1</v>
      </c>
      <c r="AW111" s="143" t="str">
        <f t="shared" si="58"/>
        <v>12</v>
      </c>
      <c r="AX111" s="145">
        <f>IF(X111="Х","Х",IF(Y111&lt;3,B111,"Х"))</f>
        <v>53</v>
      </c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195">
        <v>53.0</v>
      </c>
      <c r="BN111" s="196"/>
      <c r="BO111" s="153" t="str">
        <f>IF(BM111&lt;BN111,BM111,"")</f>
        <v/>
      </c>
      <c r="BP111" s="196" t="s">
        <v>195</v>
      </c>
      <c r="BQ111" s="197"/>
      <c r="BR111" s="198" t="s">
        <v>195</v>
      </c>
      <c r="BS111" s="196"/>
      <c r="BT111" s="175" t="str">
        <f>IF(BR111&lt;BS111,BR111,"")</f>
        <v/>
      </c>
      <c r="BU111" s="196" t="s">
        <v>195</v>
      </c>
      <c r="BV111" s="196"/>
      <c r="BW111" s="199">
        <v>53.0</v>
      </c>
      <c r="BX111" s="74" t="s">
        <v>194</v>
      </c>
      <c r="BY111" s="160">
        <f t="array" ref="BY111">IF(BW111&lt;BX111,BW111,"")</f>
        <v>53</v>
      </c>
      <c r="BZ111" s="160">
        <f t="shared" si="17"/>
        <v>53</v>
      </c>
      <c r="CA111" s="74"/>
      <c r="CB111" s="74" t="str">
        <f t="shared" si="18"/>
        <v>св</v>
      </c>
      <c r="CC111" s="200"/>
      <c r="CD111" s="243"/>
      <c r="CE111" s="200">
        <v>53.0</v>
      </c>
      <c r="CF111" s="25" t="s">
        <v>194</v>
      </c>
      <c r="CG111" s="153">
        <f t="array" ref="CG111">IF(CE111&lt;CF111,CE111,"")</f>
        <v>53</v>
      </c>
      <c r="CH111" s="74">
        <v>53.0</v>
      </c>
      <c r="CI111" s="182"/>
      <c r="CJ111" s="93">
        <v>53.0</v>
      </c>
      <c r="CK111" s="233" t="s">
        <v>194</v>
      </c>
      <c r="CL111" s="153">
        <f t="array" ref="CL111">IF(CJ111&lt;CK111,CJ111,"")</f>
        <v>53</v>
      </c>
      <c r="CM111" s="49">
        <v>53.0</v>
      </c>
      <c r="CN111" s="49"/>
      <c r="CO111" s="74">
        <v>53.0</v>
      </c>
      <c r="CP111" s="200" t="s">
        <v>194</v>
      </c>
      <c r="CQ111" s="153">
        <f t="array" ref="CQ111">IF(CO111&lt;CP111,CO111,"")</f>
        <v>53</v>
      </c>
      <c r="CR111" s="93">
        <v>53.0</v>
      </c>
      <c r="CS111" s="234"/>
      <c r="CT111" s="200">
        <v>53.0</v>
      </c>
      <c r="CU111" s="74" t="s">
        <v>194</v>
      </c>
      <c r="CV111" s="153">
        <f t="array" ref="CV111">IF(CT111&lt;CU111,CT111,"")</f>
        <v>53</v>
      </c>
      <c r="CW111" s="49">
        <v>53.0</v>
      </c>
      <c r="CX111" s="49"/>
      <c r="CY111" s="49">
        <v>53.0</v>
      </c>
      <c r="CZ111" s="49" t="s">
        <v>194</v>
      </c>
      <c r="DA111" s="153">
        <f t="array" ref="DA111">IF(CY111&lt;CZ111,CY111,"")</f>
        <v>53</v>
      </c>
      <c r="DB111" s="49">
        <v>53.0</v>
      </c>
      <c r="DC111" s="49"/>
      <c r="DD111" s="49">
        <v>53.0</v>
      </c>
      <c r="DE111" s="49"/>
      <c r="DF111" s="49"/>
      <c r="DG111" s="49"/>
      <c r="DH111" s="49"/>
    </row>
    <row r="112" ht="13.5" hidden="1" customHeight="1">
      <c r="A112" s="54"/>
      <c r="B112" s="165"/>
      <c r="C112" s="165"/>
      <c r="D112" s="165"/>
      <c r="E112" s="165"/>
      <c r="F112" s="166"/>
      <c r="G112" s="167"/>
      <c r="H112" s="168"/>
      <c r="I112" s="167"/>
      <c r="J112" s="168"/>
      <c r="K112" s="167"/>
      <c r="L112" s="168"/>
      <c r="M112" s="167"/>
      <c r="N112" s="168"/>
      <c r="O112" s="167"/>
      <c r="P112" s="168"/>
      <c r="Q112" s="167"/>
      <c r="R112" s="168"/>
      <c r="S112" s="167"/>
      <c r="T112" s="168"/>
      <c r="U112" s="169"/>
      <c r="V112" s="168"/>
      <c r="W112" s="169"/>
      <c r="X112" s="168"/>
      <c r="Y112" s="167"/>
      <c r="Z112" s="168"/>
      <c r="AA112" s="167"/>
      <c r="AB112" s="166"/>
      <c r="AC112" s="165"/>
      <c r="AD112" s="168"/>
      <c r="AE112" s="170"/>
      <c r="AF112" s="171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178"/>
      <c r="BO112" s="175" t="str">
        <f>IF(BO111="","",BN111)</f>
        <v/>
      </c>
      <c r="BP112" s="175" t="s">
        <v>195</v>
      </c>
      <c r="BQ112" s="197"/>
      <c r="BT112" s="175" t="str">
        <f>IF(BT111="","",BS111)</f>
        <v/>
      </c>
      <c r="BU112" s="175" t="s">
        <v>195</v>
      </c>
      <c r="BV112" s="196"/>
      <c r="BW112" s="178"/>
      <c r="BY112" s="160" t="str">
        <f>IF(BY111="","",BX111)</f>
        <v> </v>
      </c>
      <c r="BZ112" s="160" t="str">
        <f t="shared" si="17"/>
        <v> </v>
      </c>
      <c r="CA112" s="200"/>
      <c r="CB112" s="74" t="str">
        <f t="shared" si="18"/>
        <v>св</v>
      </c>
      <c r="CC112" s="200"/>
      <c r="CD112" s="243"/>
      <c r="CG112" s="180" t="str">
        <f>IF(CG111="","",CF111)</f>
        <v> </v>
      </c>
      <c r="CH112" s="200" t="s">
        <v>194</v>
      </c>
      <c r="CI112" s="182"/>
      <c r="CJ112" s="49" t="s">
        <v>195</v>
      </c>
      <c r="CK112" s="235"/>
      <c r="CL112" s="180" t="str">
        <f>IF(CL111="","",CK111)</f>
        <v> </v>
      </c>
      <c r="CM112" s="49" t="s">
        <v>194</v>
      </c>
      <c r="CN112" s="49"/>
      <c r="CQ112" s="180" t="str">
        <f>IF(CQ111="","",CP111)</f>
        <v> </v>
      </c>
      <c r="CR112" s="49" t="s">
        <v>194</v>
      </c>
      <c r="CS112" s="234"/>
      <c r="CV112" s="180" t="str">
        <f>IF(CV111="","",CU111)</f>
        <v> </v>
      </c>
      <c r="CW112" s="49" t="s">
        <v>194</v>
      </c>
      <c r="CX112" s="49"/>
      <c r="CY112" s="49" t="s">
        <v>195</v>
      </c>
      <c r="CZ112" s="49"/>
      <c r="DA112" s="180" t="str">
        <f>IF(DA111="","",CZ111)</f>
        <v> </v>
      </c>
      <c r="DB112" s="49" t="s">
        <v>194</v>
      </c>
      <c r="DC112" s="49"/>
      <c r="DD112" s="49" t="s">
        <v>195</v>
      </c>
      <c r="DE112" s="49"/>
      <c r="DF112" s="49"/>
      <c r="DG112" s="49"/>
      <c r="DH112" s="49"/>
    </row>
    <row r="113" ht="13.5" hidden="1" customHeight="1">
      <c r="A113" s="54"/>
      <c r="B113" s="187">
        <v>54.0</v>
      </c>
      <c r="C113" s="188" t="str">
        <f>(VLOOKUP($B113,'Пр.взв'!$D$6:$J$63,2,0))</f>
        <v>#N/A</v>
      </c>
      <c r="D113" s="189" t="str">
        <f>(VLOOKUP($B113,'Пр.взв'!$D$6:$J$63,5,0))</f>
        <v>#N/A</v>
      </c>
      <c r="E113" s="190" t="str">
        <f>(VLOOKUP($B113,'Пр.взв'!$D$6:$M$63,8,0))</f>
        <v>#N/A</v>
      </c>
      <c r="F113" s="130"/>
      <c r="G113" s="134"/>
      <c r="H113" s="132"/>
      <c r="I113" s="134"/>
      <c r="J113" s="133" t="str">
        <f>IF(H113="Х","Х",IF($AC113&lt;6," ","Х"))</f>
        <v> </v>
      </c>
      <c r="K113" s="134"/>
      <c r="L113" s="133" t="str">
        <f>IF(J113="Х","Х",IF(K113&lt;3," ",IF($AC113&lt;6," ","Х")))</f>
        <v> </v>
      </c>
      <c r="M113" s="134"/>
      <c r="N113" s="133" t="str">
        <f>IF(L113="Х","Х",IF(M113&lt;3," ",IF($AC113&lt;6," ","Х")))</f>
        <v> </v>
      </c>
      <c r="O113" s="134"/>
      <c r="P113" s="133" t="str">
        <f>IF(N113="Х","Х",IF(O113&lt;3," ",IF($AC113&lt;6," ","Х")))</f>
        <v> </v>
      </c>
      <c r="Q113" s="134"/>
      <c r="R113" s="133" t="str">
        <f>IF(P113="Х","Х",IF(Q113&lt;3," ",IF($AC113&lt;6," ","Х")))</f>
        <v> </v>
      </c>
      <c r="S113" s="134"/>
      <c r="T113" s="133" t="str">
        <f>IF(R113="Х","Х",IF(S113&lt;3," ",IF($AC113&lt;6," ","Х")))</f>
        <v> </v>
      </c>
      <c r="U113" s="135"/>
      <c r="V113" s="133" t="str">
        <f>IF(T113="Х","Х",IF(U113&lt;3," ",IF($AC113&lt;6," ","Х")))</f>
        <v> </v>
      </c>
      <c r="W113" s="135"/>
      <c r="X113" s="133" t="str">
        <f>IF(V113="А1",$AZ$7,IF(V113="Б2",$AZ$6,IF(V113="Б1",$BA$7,IF(V113="А2",$BA$6,IF(V113="Х","Х",IF(V113&lt;6," "," "))))))</f>
        <v> </v>
      </c>
      <c r="Y113" s="136"/>
      <c r="Z113" s="133" t="str">
        <f>IF(V113="Х","Х",IF(ISBLANK(Y113),"",IF(Y113&gt;2.5," ",IF(B113=BB$6,BB$7,BB$6))))</f>
        <v/>
      </c>
      <c r="AA113" s="136"/>
      <c r="AB113" s="240" t="str">
        <f>IF(H113="Х",F$5,IF(J113="Х",H$5,IF(L113="Х",J$5,IF(N113="Х",L$5,IF(P113="Х",N$5,IF(R113="Х",P$5,IF(T113="Х",R$5,IF(X113="Х",T$5,""))))))))</f>
        <v/>
      </c>
      <c r="AC113" s="138">
        <f>SUM(G113+I113+K113+M113+O113+Q113+S113+U113+Y113+AA113)</f>
        <v>0</v>
      </c>
      <c r="AD113" s="241" t="str">
        <f>AF113</f>
        <v>25-71</v>
      </c>
      <c r="AE113" s="140" t="str">
        <f>AD113</f>
        <v>25-71</v>
      </c>
      <c r="AF113" s="141" t="str">
        <f>COUNTIF(AG$6:AG$148,"&gt;"&amp;AG$6:AG$148)+1&amp;REPT("-"&amp;COUNTIF(AG$6:AG$148,"&gt;="&amp;AG$6:AG$148),COUNTIF(AG$6:AG$148,AG113)&gt;1)</f>
        <v>25-71</v>
      </c>
      <c r="AG113" s="142">
        <f>(AR113*100)+(AP113*10)-AC113</f>
        <v>80</v>
      </c>
      <c r="AH113" s="143" t="str">
        <f>IF(OR(F113="Х",F113="св")," ",IF(AND(G113&gt;=0,G113&lt;3),"1"," "))</f>
        <v>1</v>
      </c>
      <c r="AI113" s="90" t="str">
        <f>IF(OR(H113="Х",H113="св")," ",IF(AND(I113&gt;=0,I113&lt;3),"1"," "))</f>
        <v>1</v>
      </c>
      <c r="AJ113" s="90" t="str">
        <f>IF(OR(J113="Х",J113="св")," ",IF(AND(K113&gt;=0,K113&lt;3),"1"," "))</f>
        <v>1</v>
      </c>
      <c r="AK113" s="90" t="str">
        <f>IF(OR(L113="Х",L113="св")," ",IF(AND(M113&gt;=0,M113&lt;3),"1"," "))</f>
        <v>1</v>
      </c>
      <c r="AL113" s="90" t="str">
        <f>IF(OR(N113="Х",N113="св")," ",IF(AND(O113&gt;=0,O113&lt;3),"1"," "))</f>
        <v>1</v>
      </c>
      <c r="AM113" s="90" t="str">
        <f>IF(OR(P113="Х",P113="св")," ",IF(AND(Q113&gt;=0,Q113&lt;3),"1"," "))</f>
        <v>1</v>
      </c>
      <c r="AN113" s="90" t="str">
        <f>IF(OR(R113="Х",R113="св")," ",IF(AND(S113&gt;=0,S113&lt;3),"1"," "))</f>
        <v>1</v>
      </c>
      <c r="AO113" s="90" t="str">
        <f>IF(OR(T113="Х",T113="св")," ",IF(AND(U113&gt;=0,U113&lt;3),"1"," "))</f>
        <v>1</v>
      </c>
      <c r="AP113" s="90">
        <f>COUNTIF(AH113:AO114,1)</f>
        <v>8</v>
      </c>
      <c r="AQ113" s="90">
        <f>AG113-AC113</f>
        <v>80</v>
      </c>
      <c r="AR113" s="144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0" t="str">
        <f>COUNTIF(AG$6:AG$134,"&gt;"&amp;AG$6:AG$134)+1&amp;REPT("-"&amp;COUNTIF(AG$6:AG$134,"&gt;="&amp;AG$6:AG$134),COUNTIF(AG$6:AG$134,AG113)&gt;1)</f>
        <v>25-64</v>
      </c>
      <c r="AT113" s="143" t="str">
        <f t="shared" ref="AT113:AW113" si="59">COUNTIF(AU$6:AU$134,"&gt;"&amp;AU$6:AU$134)+1&amp;REPT("-"&amp;COUNTIF(AU$6:AU$134,"&gt;="&amp;AU$6:AU$134),COUNTIF(AU$6:AU$134,AU113)&gt;1)</f>
        <v>1-64</v>
      </c>
      <c r="AU113" s="143" t="str">
        <f t="shared" si="59"/>
        <v>1-0</v>
      </c>
      <c r="AV113" s="143" t="str">
        <f t="shared" si="59"/>
        <v>1</v>
      </c>
      <c r="AW113" s="143" t="str">
        <f t="shared" si="59"/>
        <v>11</v>
      </c>
      <c r="AX113" s="145">
        <f>IF(X113="Х","Х",IF(Y113&lt;3,B113,"Х"))</f>
        <v>54</v>
      </c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195">
        <v>54.0</v>
      </c>
      <c r="BN113" s="196"/>
      <c r="BO113" s="153" t="str">
        <f>IF(BM113&lt;BN113,BM113,"")</f>
        <v/>
      </c>
      <c r="BP113" s="196" t="s">
        <v>195</v>
      </c>
      <c r="BQ113" s="197"/>
      <c r="BR113" s="198" t="s">
        <v>195</v>
      </c>
      <c r="BS113" s="196"/>
      <c r="BT113" s="175" t="str">
        <f>IF(BR113&lt;BS113,BR113,"")</f>
        <v/>
      </c>
      <c r="BU113" s="196" t="s">
        <v>195</v>
      </c>
      <c r="BV113" s="196"/>
      <c r="BW113" s="199">
        <v>54.0</v>
      </c>
      <c r="BX113" s="74" t="s">
        <v>194</v>
      </c>
      <c r="BY113" s="160">
        <f t="array" ref="BY113">IF(BW113&lt;BX113,BW113,"")</f>
        <v>54</v>
      </c>
      <c r="BZ113" s="160">
        <f t="shared" si="17"/>
        <v>54</v>
      </c>
      <c r="CA113" s="74"/>
      <c r="CB113" s="74" t="str">
        <f t="shared" si="18"/>
        <v>св</v>
      </c>
      <c r="CC113" s="200"/>
      <c r="CD113" s="243"/>
      <c r="CE113" s="200">
        <v>54.0</v>
      </c>
      <c r="CF113" s="25" t="s">
        <v>194</v>
      </c>
      <c r="CG113" s="153">
        <f t="array" ref="CG113">IF(CE113&lt;CF113,CE113,"")</f>
        <v>54</v>
      </c>
      <c r="CH113" s="74">
        <v>54.0</v>
      </c>
      <c r="CI113" s="182"/>
      <c r="CJ113" s="93">
        <v>54.0</v>
      </c>
      <c r="CK113" s="233" t="s">
        <v>194</v>
      </c>
      <c r="CL113" s="153">
        <f t="array" ref="CL113">IF(CJ113&lt;CK113,CJ113,"")</f>
        <v>54</v>
      </c>
      <c r="CM113" s="49">
        <v>54.0</v>
      </c>
      <c r="CN113" s="49"/>
      <c r="CO113" s="74">
        <v>54.0</v>
      </c>
      <c r="CP113" s="200" t="s">
        <v>194</v>
      </c>
      <c r="CQ113" s="153">
        <f t="array" ref="CQ113">IF(CO113&lt;CP113,CO113,"")</f>
        <v>54</v>
      </c>
      <c r="CR113" s="93">
        <v>54.0</v>
      </c>
      <c r="CS113" s="234"/>
      <c r="CT113" s="200">
        <v>54.0</v>
      </c>
      <c r="CU113" s="74" t="s">
        <v>194</v>
      </c>
      <c r="CV113" s="153">
        <f t="array" ref="CV113">IF(CT113&lt;CU113,CT113,"")</f>
        <v>54</v>
      </c>
      <c r="CW113" s="49">
        <v>54.0</v>
      </c>
      <c r="CX113" s="49"/>
      <c r="CY113" s="49">
        <v>54.0</v>
      </c>
      <c r="CZ113" s="49" t="s">
        <v>194</v>
      </c>
      <c r="DA113" s="153">
        <f t="array" ref="DA113">IF(CY113&lt;CZ113,CY113,"")</f>
        <v>54</v>
      </c>
      <c r="DB113" s="49">
        <v>54.0</v>
      </c>
      <c r="DC113" s="49"/>
      <c r="DD113" s="49">
        <v>54.0</v>
      </c>
      <c r="DE113" s="49"/>
      <c r="DF113" s="49"/>
      <c r="DG113" s="49"/>
      <c r="DH113" s="49"/>
    </row>
    <row r="114" ht="13.5" hidden="1" customHeight="1">
      <c r="A114" s="54"/>
      <c r="B114" s="165"/>
      <c r="C114" s="165"/>
      <c r="D114" s="165"/>
      <c r="E114" s="165"/>
      <c r="F114" s="166"/>
      <c r="G114" s="167"/>
      <c r="H114" s="168"/>
      <c r="I114" s="167"/>
      <c r="J114" s="168"/>
      <c r="K114" s="167"/>
      <c r="L114" s="168"/>
      <c r="M114" s="167"/>
      <c r="N114" s="168"/>
      <c r="O114" s="167"/>
      <c r="P114" s="168"/>
      <c r="Q114" s="167"/>
      <c r="R114" s="168"/>
      <c r="S114" s="167"/>
      <c r="T114" s="168"/>
      <c r="U114" s="169"/>
      <c r="V114" s="168"/>
      <c r="W114" s="169"/>
      <c r="X114" s="168"/>
      <c r="Y114" s="167"/>
      <c r="Z114" s="168"/>
      <c r="AA114" s="167"/>
      <c r="AB114" s="166"/>
      <c r="AC114" s="165"/>
      <c r="AD114" s="168"/>
      <c r="AE114" s="170"/>
      <c r="AF114" s="171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178"/>
      <c r="BO114" s="175" t="str">
        <f>IF(BO113="","",BN113)</f>
        <v/>
      </c>
      <c r="BP114" s="175" t="s">
        <v>195</v>
      </c>
      <c r="BQ114" s="197"/>
      <c r="BT114" s="175" t="str">
        <f>IF(BT113="","",BS113)</f>
        <v/>
      </c>
      <c r="BU114" s="175" t="s">
        <v>195</v>
      </c>
      <c r="BV114" s="196"/>
      <c r="BW114" s="178"/>
      <c r="BY114" s="160" t="str">
        <f>IF(BY113="","",BX113)</f>
        <v> </v>
      </c>
      <c r="BZ114" s="160" t="str">
        <f t="shared" si="17"/>
        <v> </v>
      </c>
      <c r="CA114" s="200"/>
      <c r="CB114" s="74" t="str">
        <f t="shared" si="18"/>
        <v>св</v>
      </c>
      <c r="CC114" s="200"/>
      <c r="CD114" s="243"/>
      <c r="CG114" s="180" t="str">
        <f>IF(CG113="","",CF113)</f>
        <v> </v>
      </c>
      <c r="CH114" s="200" t="s">
        <v>194</v>
      </c>
      <c r="CI114" s="182"/>
      <c r="CJ114" s="49" t="s">
        <v>195</v>
      </c>
      <c r="CK114" s="235"/>
      <c r="CL114" s="180" t="str">
        <f>IF(CL113="","",CK113)</f>
        <v> </v>
      </c>
      <c r="CM114" s="49" t="s">
        <v>194</v>
      </c>
      <c r="CN114" s="49"/>
      <c r="CQ114" s="180" t="str">
        <f>IF(CQ113="","",CP113)</f>
        <v> </v>
      </c>
      <c r="CR114" s="49" t="s">
        <v>194</v>
      </c>
      <c r="CS114" s="234"/>
      <c r="CV114" s="180" t="str">
        <f>IF(CV113="","",CU113)</f>
        <v> </v>
      </c>
      <c r="CW114" s="49" t="s">
        <v>194</v>
      </c>
      <c r="CX114" s="49"/>
      <c r="CY114" s="49" t="s">
        <v>195</v>
      </c>
      <c r="CZ114" s="49"/>
      <c r="DA114" s="180" t="str">
        <f>IF(DA113="","",CZ113)</f>
        <v> </v>
      </c>
      <c r="DB114" s="49" t="s">
        <v>194</v>
      </c>
      <c r="DC114" s="49"/>
      <c r="DD114" s="49" t="s">
        <v>195</v>
      </c>
      <c r="DE114" s="49"/>
      <c r="DF114" s="49"/>
      <c r="DG114" s="49"/>
      <c r="DH114" s="49"/>
    </row>
    <row r="115" ht="13.5" hidden="1" customHeight="1">
      <c r="A115" s="54"/>
      <c r="B115" s="187">
        <v>55.0</v>
      </c>
      <c r="C115" s="188" t="str">
        <f>(VLOOKUP($B115,'Пр.взв'!$D$6:$J$63,2,0))</f>
        <v>#N/A</v>
      </c>
      <c r="D115" s="189" t="str">
        <f>(VLOOKUP($B115,'Пр.взв'!$D$6:$J$63,5,0))</f>
        <v>#N/A</v>
      </c>
      <c r="E115" s="190" t="str">
        <f>(VLOOKUP($B115,'Пр.взв'!$D$6:$M$63,8,0))</f>
        <v>#N/A</v>
      </c>
      <c r="F115" s="130"/>
      <c r="G115" s="255"/>
      <c r="H115" s="132"/>
      <c r="I115" s="255"/>
      <c r="J115" s="133" t="str">
        <f>IF(H115="Х","Х",IF($AC115&lt;6," ","Х"))</f>
        <v> </v>
      </c>
      <c r="K115" s="134"/>
      <c r="L115" s="133" t="str">
        <f>IF(J115="Х","Х",IF(K115&lt;3," ",IF($AC115&lt;6," ","Х")))</f>
        <v> </v>
      </c>
      <c r="M115" s="134"/>
      <c r="N115" s="133" t="str">
        <f>IF(L115="Х","Х",IF(M115&lt;3," ",IF($AC115&lt;6," ","Х")))</f>
        <v> </v>
      </c>
      <c r="O115" s="134"/>
      <c r="P115" s="133" t="str">
        <f>IF(N115="Х","Х",IF(O115&lt;3," ",IF($AC115&lt;6," ","Х")))</f>
        <v> </v>
      </c>
      <c r="Q115" s="134"/>
      <c r="R115" s="133" t="str">
        <f>IF(P115="Х","Х",IF(Q115&lt;3," ",IF($AC115&lt;6," ","Х")))</f>
        <v> </v>
      </c>
      <c r="S115" s="134"/>
      <c r="T115" s="133" t="str">
        <f>IF(R115="Х","Х",IF(S115&lt;3," ",IF($AC115&lt;6," ","Х")))</f>
        <v> </v>
      </c>
      <c r="U115" s="135"/>
      <c r="V115" s="133" t="str">
        <f>IF(T115="Х","Х",IF(U115&lt;3," ",IF($AC115&lt;6," ","Х")))</f>
        <v> </v>
      </c>
      <c r="W115" s="135"/>
      <c r="X115" s="133" t="str">
        <f>IF(V115="А1",$AZ$7,IF(V115="Б2",$AZ$6,IF(V115="Б1",$BA$7,IF(V115="А2",$BA$6,IF(V115="Х","Х",IF(V115&lt;6," "," "))))))</f>
        <v> </v>
      </c>
      <c r="Y115" s="136"/>
      <c r="Z115" s="133" t="str">
        <f>IF(V115="Х","Х",IF(ISBLANK(Y115),"",IF(Y115&gt;2.5," ",IF(B115=BB$6,BB$7,BB$6))))</f>
        <v/>
      </c>
      <c r="AA115" s="136"/>
      <c r="AB115" s="240" t="str">
        <f>IF(H115="Х",F$5,IF(J115="Х",H$5,IF(L115="Х",J$5,IF(N115="Х",L$5,IF(P115="Х",N$5,IF(R115="Х",P$5,IF(T115="Х",R$5,IF(X115="Х",T$5,""))))))))</f>
        <v/>
      </c>
      <c r="AC115" s="138">
        <f>SUM(G115+I115+K115+M115+O115+Q115+S115+U115+Y115+AA115)</f>
        <v>0</v>
      </c>
      <c r="AD115" s="241" t="str">
        <f>AF115</f>
        <v>25-71</v>
      </c>
      <c r="AE115" s="140" t="str">
        <f>AD115</f>
        <v>25-71</v>
      </c>
      <c r="AF115" s="141" t="str">
        <f>COUNTIF(AG$6:AG$148,"&gt;"&amp;AG$6:AG$148)+1&amp;REPT("-"&amp;COUNTIF(AG$6:AG$148,"&gt;="&amp;AG$6:AG$148),COUNTIF(AG$6:AG$148,AG115)&gt;1)</f>
        <v>25-71</v>
      </c>
      <c r="AG115" s="142">
        <f>(AR115*100)+(AP115*10)-AC115</f>
        <v>80</v>
      </c>
      <c r="AH115" s="143" t="str">
        <f>IF(OR(F115="Х",F115="св")," ",IF(AND(G115&gt;=0,G115&lt;3),"1"," "))</f>
        <v>1</v>
      </c>
      <c r="AI115" s="90" t="str">
        <f>IF(OR(H115="Х",H115="св")," ",IF(AND(I115&gt;=0,I115&lt;3),"1"," "))</f>
        <v>1</v>
      </c>
      <c r="AJ115" s="90" t="str">
        <f>IF(OR(J115="Х",J115="св")," ",IF(AND(K115&gt;=0,K115&lt;3),"1"," "))</f>
        <v>1</v>
      </c>
      <c r="AK115" s="90" t="str">
        <f>IF(OR(L115="Х",L115="св")," ",IF(AND(M115&gt;=0,M115&lt;3),"1"," "))</f>
        <v>1</v>
      </c>
      <c r="AL115" s="90" t="str">
        <f>IF(OR(N115="Х",N115="св")," ",IF(AND(O115&gt;=0,O115&lt;3),"1"," "))</f>
        <v>1</v>
      </c>
      <c r="AM115" s="90" t="str">
        <f>IF(OR(P115="Х",P115="св")," ",IF(AND(Q115&gt;=0,Q115&lt;3),"1"," "))</f>
        <v>1</v>
      </c>
      <c r="AN115" s="90" t="str">
        <f>IF(OR(R115="Х",R115="св")," ",IF(AND(S115&gt;=0,S115&lt;3),"1"," "))</f>
        <v>1</v>
      </c>
      <c r="AO115" s="90" t="str">
        <f>IF(OR(T115="Х",T115="св")," ",IF(AND(U115&gt;=0,U115&lt;3),"1"," "))</f>
        <v>1</v>
      </c>
      <c r="AP115" s="90">
        <f>COUNTIF(AH115:AO116,1)</f>
        <v>8</v>
      </c>
      <c r="AQ115" s="90">
        <f>AG115-AC115</f>
        <v>80</v>
      </c>
      <c r="AR115" s="144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0" t="str">
        <f>COUNTIF(AG$6:AG$134,"&gt;"&amp;AG$6:AG$134)+1&amp;REPT("-"&amp;COUNTIF(AG$6:AG$134,"&gt;="&amp;AG$6:AG$134),COUNTIF(AG$6:AG$134,AG115)&gt;1)</f>
        <v>25-64</v>
      </c>
      <c r="AT115" s="143" t="str">
        <f t="shared" ref="AT115:AW115" si="60">COUNTIF(AU$6:AU$134,"&gt;"&amp;AU$6:AU$134)+1&amp;REPT("-"&amp;COUNTIF(AU$6:AU$134,"&gt;="&amp;AU$6:AU$134),COUNTIF(AU$6:AU$134,AU115)&gt;1)</f>
        <v>1-64</v>
      </c>
      <c r="AU115" s="143" t="str">
        <f t="shared" si="60"/>
        <v>1-0</v>
      </c>
      <c r="AV115" s="143" t="str">
        <f t="shared" si="60"/>
        <v>1</v>
      </c>
      <c r="AW115" s="143" t="str">
        <f t="shared" si="60"/>
        <v>10</v>
      </c>
      <c r="AX115" s="145">
        <f>IF(X115="Х","Х",IF(Y115&lt;3,B115,"Х"))</f>
        <v>55</v>
      </c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195">
        <v>55.0</v>
      </c>
      <c r="BN115" s="196"/>
      <c r="BO115" s="153" t="str">
        <f>IF(BM115&lt;BN115,BM115,"")</f>
        <v/>
      </c>
      <c r="BP115" s="196" t="s">
        <v>195</v>
      </c>
      <c r="BQ115" s="197"/>
      <c r="BR115" s="198" t="s">
        <v>195</v>
      </c>
      <c r="BS115" s="196"/>
      <c r="BT115" s="175" t="str">
        <f>IF(BR115&lt;BS115,BR115,"")</f>
        <v/>
      </c>
      <c r="BU115" s="196" t="s">
        <v>195</v>
      </c>
      <c r="BV115" s="196"/>
      <c r="BW115" s="199">
        <v>55.0</v>
      </c>
      <c r="BX115" s="74" t="s">
        <v>194</v>
      </c>
      <c r="BY115" s="160">
        <f t="array" ref="BY115">IF(BW115&lt;BX115,BW115,"")</f>
        <v>55</v>
      </c>
      <c r="BZ115" s="160">
        <f t="shared" si="17"/>
        <v>55</v>
      </c>
      <c r="CA115" s="74"/>
      <c r="CB115" s="74" t="str">
        <f t="shared" si="18"/>
        <v>св</v>
      </c>
      <c r="CC115" s="200"/>
      <c r="CD115" s="243"/>
      <c r="CE115" s="200">
        <v>55.0</v>
      </c>
      <c r="CF115" s="25" t="s">
        <v>194</v>
      </c>
      <c r="CG115" s="153">
        <f t="array" ref="CG115">IF(CE115&lt;CF115,CE115,"")</f>
        <v>55</v>
      </c>
      <c r="CH115" s="74">
        <v>55.0</v>
      </c>
      <c r="CI115" s="182"/>
      <c r="CJ115" s="93">
        <v>55.0</v>
      </c>
      <c r="CK115" s="233" t="s">
        <v>194</v>
      </c>
      <c r="CL115" s="153">
        <f t="array" ref="CL115">IF(CJ115&lt;CK115,CJ115,"")</f>
        <v>55</v>
      </c>
      <c r="CM115" s="49">
        <v>55.0</v>
      </c>
      <c r="CN115" s="49"/>
      <c r="CO115" s="74">
        <v>55.0</v>
      </c>
      <c r="CP115" s="200" t="s">
        <v>194</v>
      </c>
      <c r="CQ115" s="153">
        <f t="array" ref="CQ115">IF(CO115&lt;CP115,CO115,"")</f>
        <v>55</v>
      </c>
      <c r="CR115" s="93">
        <v>55.0</v>
      </c>
      <c r="CS115" s="234"/>
      <c r="CT115" s="200">
        <v>55.0</v>
      </c>
      <c r="CU115" s="74" t="s">
        <v>194</v>
      </c>
      <c r="CV115" s="153">
        <f t="array" ref="CV115">IF(CT115&lt;CU115,CT115,"")</f>
        <v>55</v>
      </c>
      <c r="CW115" s="49">
        <v>55.0</v>
      </c>
      <c r="CX115" s="49"/>
      <c r="CY115" s="49">
        <v>55.0</v>
      </c>
      <c r="CZ115" s="49" t="s">
        <v>194</v>
      </c>
      <c r="DA115" s="153">
        <f t="array" ref="DA115">IF(CY115&lt;CZ115,CY115,"")</f>
        <v>55</v>
      </c>
      <c r="DB115" s="49">
        <v>55.0</v>
      </c>
      <c r="DC115" s="49"/>
      <c r="DD115" s="49">
        <v>55.0</v>
      </c>
      <c r="DE115" s="49"/>
      <c r="DF115" s="49"/>
      <c r="DG115" s="49"/>
      <c r="DH115" s="49"/>
    </row>
    <row r="116" ht="13.5" hidden="1" customHeight="1">
      <c r="A116" s="54"/>
      <c r="B116" s="165"/>
      <c r="C116" s="165"/>
      <c r="D116" s="165"/>
      <c r="E116" s="165"/>
      <c r="F116" s="166"/>
      <c r="G116" s="167"/>
      <c r="H116" s="168"/>
      <c r="I116" s="167"/>
      <c r="J116" s="168"/>
      <c r="K116" s="167"/>
      <c r="L116" s="168"/>
      <c r="M116" s="167"/>
      <c r="N116" s="168"/>
      <c r="O116" s="167"/>
      <c r="P116" s="168"/>
      <c r="Q116" s="167"/>
      <c r="R116" s="168"/>
      <c r="S116" s="167"/>
      <c r="T116" s="168"/>
      <c r="U116" s="169"/>
      <c r="V116" s="168"/>
      <c r="W116" s="169"/>
      <c r="X116" s="168"/>
      <c r="Y116" s="167"/>
      <c r="Z116" s="168"/>
      <c r="AA116" s="167"/>
      <c r="AB116" s="166"/>
      <c r="AC116" s="165"/>
      <c r="AD116" s="168"/>
      <c r="AE116" s="170"/>
      <c r="AF116" s="171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178"/>
      <c r="BO116" s="175" t="str">
        <f>IF(BO115="","",BN115)</f>
        <v/>
      </c>
      <c r="BP116" s="175" t="s">
        <v>195</v>
      </c>
      <c r="BQ116" s="197"/>
      <c r="BT116" s="175" t="str">
        <f>IF(BT115="","",BS115)</f>
        <v/>
      </c>
      <c r="BU116" s="175" t="s">
        <v>195</v>
      </c>
      <c r="BV116" s="196"/>
      <c r="BW116" s="178"/>
      <c r="BY116" s="160" t="str">
        <f>IF(BY115="","",BX115)</f>
        <v> </v>
      </c>
      <c r="BZ116" s="160" t="str">
        <f t="shared" si="17"/>
        <v> </v>
      </c>
      <c r="CA116" s="200"/>
      <c r="CB116" s="74" t="str">
        <f t="shared" si="18"/>
        <v>св</v>
      </c>
      <c r="CC116" s="200"/>
      <c r="CD116" s="243"/>
      <c r="CG116" s="180" t="str">
        <f>IF(CG115="","",CF115)</f>
        <v> </v>
      </c>
      <c r="CH116" s="200" t="s">
        <v>194</v>
      </c>
      <c r="CI116" s="49"/>
      <c r="CJ116" s="49" t="s">
        <v>195</v>
      </c>
      <c r="CK116" s="235"/>
      <c r="CL116" s="180" t="str">
        <f>IF(CL115="","",CK115)</f>
        <v> </v>
      </c>
      <c r="CM116" s="49" t="s">
        <v>194</v>
      </c>
      <c r="CN116" s="49"/>
      <c r="CQ116" s="180" t="str">
        <f>IF(CQ115="","",CP115)</f>
        <v> </v>
      </c>
      <c r="CR116" s="49" t="s">
        <v>194</v>
      </c>
      <c r="CS116" s="49"/>
      <c r="CV116" s="180" t="str">
        <f>IF(CV115="","",CU115)</f>
        <v> </v>
      </c>
      <c r="CW116" s="49" t="s">
        <v>194</v>
      </c>
      <c r="CX116" s="49"/>
      <c r="CY116" s="49" t="s">
        <v>195</v>
      </c>
      <c r="CZ116" s="49"/>
      <c r="DA116" s="180" t="str">
        <f>IF(DA115="","",CZ115)</f>
        <v> </v>
      </c>
      <c r="DB116" s="49" t="s">
        <v>194</v>
      </c>
      <c r="DC116" s="49"/>
      <c r="DD116" s="49" t="s">
        <v>195</v>
      </c>
      <c r="DE116" s="49"/>
      <c r="DF116" s="49"/>
      <c r="DG116" s="49"/>
      <c r="DH116" s="49"/>
    </row>
    <row r="117" ht="13.5" hidden="1" customHeight="1">
      <c r="A117" s="54"/>
      <c r="B117" s="126">
        <v>56.0</v>
      </c>
      <c r="C117" s="188" t="str">
        <f>(VLOOKUP($B117,'Пр.взв'!$D$6:$J$63,2,0))</f>
        <v>#N/A</v>
      </c>
      <c r="D117" s="189" t="str">
        <f>(VLOOKUP($B117,'Пр.взв'!$D$6:$J$63,5,0))</f>
        <v>#N/A</v>
      </c>
      <c r="E117" s="190" t="str">
        <f>(VLOOKUP($B117,'Пр.взв'!$D$6:$M$63,8,0))</f>
        <v>#N/A</v>
      </c>
      <c r="F117" s="130"/>
      <c r="G117" s="134"/>
      <c r="H117" s="132"/>
      <c r="I117" s="136"/>
      <c r="J117" s="133" t="str">
        <f>IF(H117="Х","Х",IF($AC117&lt;6," ","Х"))</f>
        <v> </v>
      </c>
      <c r="K117" s="134"/>
      <c r="L117" s="133" t="str">
        <f>IF(J117="Х","Х",IF(K117&lt;3," ",IF($AC117&lt;6," ","Х")))</f>
        <v> </v>
      </c>
      <c r="M117" s="134"/>
      <c r="N117" s="133" t="str">
        <f>IF(L117="Х","Х",IF(M117&lt;3," ",IF($AC117&lt;6," ","Х")))</f>
        <v> </v>
      </c>
      <c r="O117" s="134"/>
      <c r="P117" s="133" t="str">
        <f>IF(N117="Х","Х",IF(O117&lt;3," ",IF($AC117&lt;6," ","Х")))</f>
        <v> </v>
      </c>
      <c r="Q117" s="134"/>
      <c r="R117" s="133" t="str">
        <f>IF(P117="Х","Х",IF(Q117&lt;3," ",IF($AC117&lt;6," ","Х")))</f>
        <v> </v>
      </c>
      <c r="S117" s="134"/>
      <c r="T117" s="133" t="str">
        <f>IF(R117="Х","Х",IF(S117&lt;3," ",IF($AC117&lt;6," ","Х")))</f>
        <v> </v>
      </c>
      <c r="U117" s="135"/>
      <c r="V117" s="133" t="str">
        <f>IF(T117="Х","Х",IF(U117&lt;3," ",IF($AC117&lt;6," ","Х")))</f>
        <v> </v>
      </c>
      <c r="W117" s="135"/>
      <c r="X117" s="133" t="str">
        <f>IF(V117="А1",$AZ$7,IF(V117="Б2",$AZ$6,IF(V117="Б1",$BA$7,IF(V117="А2",$BA$6,IF(V117="Х","Х",IF(V117&lt;6," "," "))))))</f>
        <v> </v>
      </c>
      <c r="Y117" s="136"/>
      <c r="Z117" s="133" t="str">
        <f>IF(V117="Х","Х",IF(ISBLANK(Y117),"",IF(Y117&gt;2.5," ",IF(B117=BB$6,BB$7,BB$6))))</f>
        <v/>
      </c>
      <c r="AA117" s="136"/>
      <c r="AB117" s="240" t="str">
        <f>IF(H117="Х",F$5,IF(J117="Х",H$5,IF(L117="Х",J$5,IF(N117="Х",L$5,IF(P117="Х",N$5,IF(R117="Х",P$5,IF(T117="Х",R$5,IF(X117="Х",T$5,""))))))))</f>
        <v/>
      </c>
      <c r="AC117" s="138">
        <f>SUM(G117+I117+K117+M117+O117+Q117+S117+U117+Y117+AA117)</f>
        <v>0</v>
      </c>
      <c r="AD117" s="241" t="str">
        <f>AF117</f>
        <v>25-71</v>
      </c>
      <c r="AE117" s="140" t="str">
        <f>AD117</f>
        <v>25-71</v>
      </c>
      <c r="AF117" s="141" t="str">
        <f>COUNTIF(AG$6:AG$148,"&gt;"&amp;AG$6:AG$148)+1&amp;REPT("-"&amp;COUNTIF(AG$6:AG$148,"&gt;="&amp;AG$6:AG$148),COUNTIF(AG$6:AG$148,AG117)&gt;1)</f>
        <v>25-71</v>
      </c>
      <c r="AG117" s="142">
        <f>(AR117*100)+(AP117*10)-AC117</f>
        <v>80</v>
      </c>
      <c r="AH117" s="143" t="str">
        <f>IF(OR(F117="Х",F117="св")," ",IF(AND(G117&gt;=0,G117&lt;3),"1"," "))</f>
        <v>1</v>
      </c>
      <c r="AI117" s="90" t="str">
        <f>IF(OR(H117="Х",H117="св")," ",IF(AND(I117&gt;=0,I117&lt;3),"1"," "))</f>
        <v>1</v>
      </c>
      <c r="AJ117" s="90" t="str">
        <f>IF(OR(J117="Х",J117="св")," ",IF(AND(K117&gt;=0,K117&lt;3),"1"," "))</f>
        <v>1</v>
      </c>
      <c r="AK117" s="90" t="str">
        <f>IF(OR(L117="Х",L117="св")," ",IF(AND(M117&gt;=0,M117&lt;3),"1"," "))</f>
        <v>1</v>
      </c>
      <c r="AL117" s="90" t="str">
        <f>IF(OR(N117="Х",N117="св")," ",IF(AND(O117&gt;=0,O117&lt;3),"1"," "))</f>
        <v>1</v>
      </c>
      <c r="AM117" s="90" t="str">
        <f>IF(OR(P117="Х",P117="св")," ",IF(AND(Q117&gt;=0,Q117&lt;3),"1"," "))</f>
        <v>1</v>
      </c>
      <c r="AN117" s="90" t="str">
        <f>IF(OR(R117="Х",R117="св")," ",IF(AND(S117&gt;=0,S117&lt;3),"1"," "))</f>
        <v>1</v>
      </c>
      <c r="AO117" s="90" t="str">
        <f>IF(OR(T117="Х",T117="св")," ",IF(AND(U117&gt;=0,U117&lt;3),"1"," "))</f>
        <v>1</v>
      </c>
      <c r="AP117" s="90">
        <f>COUNTIF(AH117:AO118,1)</f>
        <v>8</v>
      </c>
      <c r="AQ117" s="90">
        <f>AG117-AC117</f>
        <v>80</v>
      </c>
      <c r="AR117" s="144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0" t="str">
        <f>COUNTIF(AG$6:AG$134,"&gt;"&amp;AG$6:AG$134)+1&amp;REPT("-"&amp;COUNTIF(AG$6:AG$134,"&gt;="&amp;AG$6:AG$134),COUNTIF(AG$6:AG$134,AG117)&gt;1)</f>
        <v>25-64</v>
      </c>
      <c r="AT117" s="143" t="str">
        <f t="shared" ref="AT117:AW117" si="61">COUNTIF(AU$6:AU$134,"&gt;"&amp;AU$6:AU$134)+1&amp;REPT("-"&amp;COUNTIF(AU$6:AU$134,"&gt;="&amp;AU$6:AU$134),COUNTIF(AU$6:AU$134,AU117)&gt;1)</f>
        <v>1-64</v>
      </c>
      <c r="AU117" s="143" t="str">
        <f t="shared" si="61"/>
        <v>1-0</v>
      </c>
      <c r="AV117" s="143" t="str">
        <f t="shared" si="61"/>
        <v>1</v>
      </c>
      <c r="AW117" s="143" t="str">
        <f t="shared" si="61"/>
        <v>9</v>
      </c>
      <c r="AX117" s="145">
        <f>IF(X117="Х","Х",IF(Y117&lt;3,B117,"Х"))</f>
        <v>56</v>
      </c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195">
        <v>56.0</v>
      </c>
      <c r="BN117" s="196"/>
      <c r="BO117" s="153" t="str">
        <f>IF(BM117&lt;BN117,BM117,"")</f>
        <v/>
      </c>
      <c r="BP117" s="196" t="s">
        <v>195</v>
      </c>
      <c r="BQ117" s="197"/>
      <c r="BR117" s="198" t="s">
        <v>195</v>
      </c>
      <c r="BS117" s="196"/>
      <c r="BT117" s="175" t="str">
        <f>IF(BR117&lt;BS117,BR117,"")</f>
        <v/>
      </c>
      <c r="BU117" s="196" t="s">
        <v>195</v>
      </c>
      <c r="BV117" s="196"/>
      <c r="BW117" s="199">
        <v>56.0</v>
      </c>
      <c r="BX117" s="74" t="s">
        <v>194</v>
      </c>
      <c r="BY117" s="160">
        <f t="array" ref="BY117">IF(BW117&lt;BX117,BW117,"")</f>
        <v>56</v>
      </c>
      <c r="BZ117" s="160">
        <f t="shared" si="17"/>
        <v>56</v>
      </c>
      <c r="CA117" s="74"/>
      <c r="CB117" s="74" t="str">
        <f t="shared" si="18"/>
        <v>св</v>
      </c>
      <c r="CC117" s="200"/>
      <c r="CD117" s="243"/>
      <c r="CE117" s="200">
        <v>56.0</v>
      </c>
      <c r="CF117" s="25" t="s">
        <v>194</v>
      </c>
      <c r="CG117" s="153">
        <f t="array" ref="CG117">IF(CE117&lt;CF117,CE117,"")</f>
        <v>56</v>
      </c>
      <c r="CH117" s="74">
        <v>56.0</v>
      </c>
      <c r="CI117" s="49"/>
      <c r="CJ117" s="93">
        <v>56.0</v>
      </c>
      <c r="CK117" s="233" t="s">
        <v>194</v>
      </c>
      <c r="CL117" s="153">
        <f t="array" ref="CL117">IF(CJ117&lt;CK117,CJ117,"")</f>
        <v>56</v>
      </c>
      <c r="CM117" s="49">
        <v>56.0</v>
      </c>
      <c r="CN117" s="49"/>
      <c r="CO117" s="74">
        <v>56.0</v>
      </c>
      <c r="CP117" s="200" t="s">
        <v>194</v>
      </c>
      <c r="CQ117" s="153">
        <f t="array" ref="CQ117">IF(CO117&lt;CP117,CO117,"")</f>
        <v>56</v>
      </c>
      <c r="CR117" s="93">
        <v>56.0</v>
      </c>
      <c r="CS117" s="49"/>
      <c r="CT117" s="200">
        <v>56.0</v>
      </c>
      <c r="CU117" s="74" t="s">
        <v>194</v>
      </c>
      <c r="CV117" s="153">
        <f t="array" ref="CV117">IF(CT117&lt;CU117,CT117,"")</f>
        <v>56</v>
      </c>
      <c r="CW117" s="49">
        <v>56.0</v>
      </c>
      <c r="CX117" s="49"/>
      <c r="CY117" s="49">
        <v>56.0</v>
      </c>
      <c r="CZ117" s="49" t="s">
        <v>194</v>
      </c>
      <c r="DA117" s="153">
        <f t="array" ref="DA117">IF(CY117&lt;CZ117,CY117,"")</f>
        <v>56</v>
      </c>
      <c r="DB117" s="49">
        <v>56.0</v>
      </c>
      <c r="DC117" s="49"/>
      <c r="DD117" s="49">
        <v>56.0</v>
      </c>
      <c r="DE117" s="49"/>
      <c r="DF117" s="49"/>
      <c r="DG117" s="49"/>
      <c r="DH117" s="49"/>
    </row>
    <row r="118" ht="13.5" hidden="1" customHeight="1">
      <c r="A118" s="54"/>
      <c r="B118" s="165"/>
      <c r="C118" s="165"/>
      <c r="D118" s="165"/>
      <c r="E118" s="165"/>
      <c r="F118" s="166"/>
      <c r="G118" s="167"/>
      <c r="H118" s="168"/>
      <c r="I118" s="167"/>
      <c r="J118" s="168"/>
      <c r="K118" s="167"/>
      <c r="L118" s="168"/>
      <c r="M118" s="167"/>
      <c r="N118" s="168"/>
      <c r="O118" s="167"/>
      <c r="P118" s="168"/>
      <c r="Q118" s="167"/>
      <c r="R118" s="168"/>
      <c r="S118" s="167"/>
      <c r="T118" s="168"/>
      <c r="U118" s="169"/>
      <c r="V118" s="168"/>
      <c r="W118" s="169"/>
      <c r="X118" s="168"/>
      <c r="Y118" s="167"/>
      <c r="Z118" s="168"/>
      <c r="AA118" s="167"/>
      <c r="AB118" s="166"/>
      <c r="AC118" s="165"/>
      <c r="AD118" s="168"/>
      <c r="AE118" s="170"/>
      <c r="AF118" s="171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257"/>
      <c r="BN118" s="107"/>
      <c r="BO118" s="175" t="str">
        <f>IF(BO117="","",BN117)</f>
        <v/>
      </c>
      <c r="BP118" s="258" t="s">
        <v>195</v>
      </c>
      <c r="BQ118" s="259"/>
      <c r="BT118" s="175" t="str">
        <f>IF(BT117="","",BS117)</f>
        <v/>
      </c>
      <c r="BU118" s="175" t="s">
        <v>195</v>
      </c>
      <c r="BV118" s="196"/>
      <c r="BW118" s="257"/>
      <c r="BX118" s="107"/>
      <c r="BY118" s="160" t="str">
        <f>IF(BY117="","",BX117)</f>
        <v> </v>
      </c>
      <c r="BZ118" s="260" t="str">
        <f t="shared" si="17"/>
        <v> </v>
      </c>
      <c r="CA118" s="261"/>
      <c r="CB118" s="262" t="str">
        <f t="shared" si="18"/>
        <v>св</v>
      </c>
      <c r="CC118" s="261"/>
      <c r="CD118" s="263"/>
      <c r="CG118" s="180" t="str">
        <f>IF(CG117="","",CF117)</f>
        <v> </v>
      </c>
      <c r="CH118" s="200" t="s">
        <v>194</v>
      </c>
      <c r="CI118" s="49"/>
      <c r="CJ118" s="49" t="s">
        <v>195</v>
      </c>
      <c r="CK118" s="235"/>
      <c r="CL118" s="180" t="str">
        <f>IF(CL117="","",CK117)</f>
        <v> </v>
      </c>
      <c r="CM118" s="49" t="s">
        <v>194</v>
      </c>
      <c r="CN118" s="49"/>
      <c r="CQ118" s="180" t="str">
        <f>IF(CQ117="","",CP117)</f>
        <v> </v>
      </c>
      <c r="CR118" s="49" t="s">
        <v>194</v>
      </c>
      <c r="CS118" s="49"/>
      <c r="CV118" s="180" t="str">
        <f>IF(CV117="","",CU117)</f>
        <v> </v>
      </c>
      <c r="CW118" s="49" t="s">
        <v>194</v>
      </c>
      <c r="CX118" s="49"/>
      <c r="CY118" s="49" t="s">
        <v>195</v>
      </c>
      <c r="CZ118" s="49"/>
      <c r="DA118" s="180" t="str">
        <f>IF(DA117="","",CZ117)</f>
        <v> </v>
      </c>
      <c r="DB118" s="49" t="s">
        <v>194</v>
      </c>
      <c r="DC118" s="49"/>
      <c r="DD118" s="49" t="s">
        <v>195</v>
      </c>
      <c r="DE118" s="49"/>
      <c r="DF118" s="49"/>
      <c r="DG118" s="49"/>
      <c r="DH118" s="49"/>
    </row>
    <row r="119" ht="13.5" hidden="1" customHeight="1">
      <c r="A119" s="264"/>
      <c r="B119" s="126">
        <v>57.0</v>
      </c>
      <c r="C119" s="188" t="str">
        <f>(VLOOKUP($B119,'Пр.взв'!$D$6:$J$63,2,0))</f>
        <v>#N/A</v>
      </c>
      <c r="D119" s="189" t="str">
        <f>(VLOOKUP($B119,'Пр.взв'!$D$6:$J$63,5,0))</f>
        <v>#N/A</v>
      </c>
      <c r="E119" s="190" t="str">
        <f>(VLOOKUP($B119,'Пр.взв'!$D$6:$M$63,8,0))</f>
        <v>#N/A</v>
      </c>
      <c r="F119" s="130"/>
      <c r="G119" s="134"/>
      <c r="H119" s="132"/>
      <c r="I119" s="136"/>
      <c r="J119" s="133" t="str">
        <f>IF(H119="Х","Х",IF($AC119&lt;6," ","Х"))</f>
        <v> </v>
      </c>
      <c r="K119" s="134"/>
      <c r="L119" s="133" t="str">
        <f>IF(J119="Х","Х",IF(K119&lt;3," ",IF($AC119&lt;6," ","Х")))</f>
        <v> </v>
      </c>
      <c r="M119" s="134"/>
      <c r="N119" s="133" t="str">
        <f>IF(L119="Х","Х",IF(M119&lt;3," ",IF($AC119&lt;6," ","Х")))</f>
        <v> </v>
      </c>
      <c r="O119" s="134"/>
      <c r="P119" s="133" t="str">
        <f>IF(N119="Х","Х",IF(O119&lt;3," ",IF($AC119&lt;6," ","Х")))</f>
        <v> </v>
      </c>
      <c r="Q119" s="134"/>
      <c r="R119" s="133" t="str">
        <f>IF(P119="Х","Х",IF(Q119&lt;3," ",IF($AC119&lt;6," ","Х")))</f>
        <v> </v>
      </c>
      <c r="S119" s="134"/>
      <c r="T119" s="133" t="str">
        <f>IF(R119="Х","Х",IF(S119&lt;3," ",IF($AC119&lt;6," ","Х")))</f>
        <v> </v>
      </c>
      <c r="U119" s="135"/>
      <c r="V119" s="133" t="str">
        <f>IF(T119="Х","Х",IF(U119&lt;3," ",IF($AC119&lt;6," ","Х")))</f>
        <v> </v>
      </c>
      <c r="W119" s="135"/>
      <c r="X119" s="133" t="str">
        <f>IF(V119="А1",$AZ$7,IF(V119="Б2",$AZ$6,IF(V119="Б1",$BA$7,IF(V119="А2",$BA$6,IF(V119="Х","Х",IF(V119&lt;6," "," "))))))</f>
        <v> </v>
      </c>
      <c r="Y119" s="136"/>
      <c r="Z119" s="133" t="str">
        <f>IF(V119="Х","Х",IF(ISBLANK(Y119),"",IF(Y119&gt;2.5," ",IF(B119=BB$6,BB$7,BB$6))))</f>
        <v/>
      </c>
      <c r="AA119" s="136"/>
      <c r="AB119" s="240" t="str">
        <f>IF(H119="Х",F$5,IF(J119="Х",H$5,IF(L119="Х",J$5,IF(N119="Х",L$5,IF(P119="Х",N$5,IF(R119="Х",P$5,IF(T119="Х",R$5,IF(X119="Х",T$5,""))))))))</f>
        <v/>
      </c>
      <c r="AC119" s="138">
        <f>SUM(G119+I119+K119+M119+O119+Q119+S119+U119+Y119+AA119)</f>
        <v>0</v>
      </c>
      <c r="AD119" s="241" t="str">
        <f>AF119</f>
        <v>25-71</v>
      </c>
      <c r="AE119" s="140" t="str">
        <f>AD119</f>
        <v>25-71</v>
      </c>
      <c r="AF119" s="141" t="str">
        <f>COUNTIF(AG$6:AG$148,"&gt;"&amp;AG$6:AG$148)+1&amp;REPT("-"&amp;COUNTIF(AG$6:AG$148,"&gt;="&amp;AG$6:AG$148),COUNTIF(AG$6:AG$148,AG119)&gt;1)</f>
        <v>25-71</v>
      </c>
      <c r="AG119" s="142">
        <f>(AR119*100)+(AP119*10)-AC119</f>
        <v>80</v>
      </c>
      <c r="AH119" s="143" t="str">
        <f>IF(OR(F119="Х",F119="св")," ",IF(AND(G119&gt;=0,G119&lt;3),"1"," "))</f>
        <v>1</v>
      </c>
      <c r="AI119" s="90" t="str">
        <f>IF(OR(H119="Х",H119="св")," ",IF(AND(I119&gt;=0,I119&lt;3),"1"," "))</f>
        <v>1</v>
      </c>
      <c r="AJ119" s="90" t="str">
        <f>IF(OR(J119="Х",J119="св")," ",IF(AND(K119&gt;=0,K119&lt;3),"1"," "))</f>
        <v>1</v>
      </c>
      <c r="AK119" s="90" t="str">
        <f>IF(OR(L119="Х",L119="св")," ",IF(AND(M119&gt;=0,M119&lt;3),"1"," "))</f>
        <v>1</v>
      </c>
      <c r="AL119" s="90" t="str">
        <f>IF(OR(N119="Х",N119="св")," ",IF(AND(O119&gt;=0,O119&lt;3),"1"," "))</f>
        <v>1</v>
      </c>
      <c r="AM119" s="90" t="str">
        <f>IF(OR(P119="Х",P119="св")," ",IF(AND(Q119&gt;=0,Q119&lt;3),"1"," "))</f>
        <v>1</v>
      </c>
      <c r="AN119" s="90" t="str">
        <f>IF(OR(R119="Х",R119="св")," ",IF(AND(S119&gt;=0,S119&lt;3),"1"," "))</f>
        <v>1</v>
      </c>
      <c r="AO119" s="90" t="str">
        <f>IF(OR(T119="Х",T119="св")," ",IF(AND(U119&gt;=0,U119&lt;3),"1"," "))</f>
        <v>1</v>
      </c>
      <c r="AP119" s="90">
        <f>COUNTIF(AH119:AO120,1)</f>
        <v>8</v>
      </c>
      <c r="AQ119" s="90">
        <f>AG119-AC119</f>
        <v>80</v>
      </c>
      <c r="AR119" s="144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0" t="str">
        <f>COUNTIF(AG$6:AG$134,"&gt;"&amp;AG$6:AG$134)+1&amp;REPT("-"&amp;COUNTIF(AG$6:AG$134,"&gt;="&amp;AG$6:AG$134),COUNTIF(AG$6:AG$134,AG119)&gt;1)</f>
        <v>25-64</v>
      </c>
      <c r="AT119" s="143" t="str">
        <f t="shared" ref="AT119:AW119" si="62">COUNTIF(AU$6:AU$134,"&gt;"&amp;AU$6:AU$134)+1&amp;REPT("-"&amp;COUNTIF(AU$6:AU$134,"&gt;="&amp;AU$6:AU$134),COUNTIF(AU$6:AU$134,AU119)&gt;1)</f>
        <v>1-64</v>
      </c>
      <c r="AU119" s="143" t="str">
        <f t="shared" si="62"/>
        <v>1-0</v>
      </c>
      <c r="AV119" s="143" t="str">
        <f t="shared" si="62"/>
        <v>1</v>
      </c>
      <c r="AW119" s="143" t="str">
        <f t="shared" si="62"/>
        <v>8</v>
      </c>
      <c r="AX119" s="145">
        <f>IF(X119="Х","Х",IF(Y119&lt;3,B119,"Х"))</f>
        <v>57</v>
      </c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195">
        <v>57.0</v>
      </c>
      <c r="BN119" s="196"/>
      <c r="BO119" s="153" t="str">
        <f>IF(BM119&lt;BN119,BM119,"")</f>
        <v/>
      </c>
      <c r="BP119" s="196" t="s">
        <v>195</v>
      </c>
      <c r="BQ119" s="197"/>
      <c r="BR119" s="198" t="s">
        <v>195</v>
      </c>
      <c r="BS119" s="196"/>
      <c r="BT119" s="175" t="str">
        <f>IF(BR119&lt;BS119,BR119,"")</f>
        <v/>
      </c>
      <c r="BU119" s="196" t="s">
        <v>195</v>
      </c>
      <c r="BV119" s="196"/>
      <c r="BW119" s="199">
        <v>57.0</v>
      </c>
      <c r="BX119" s="74" t="s">
        <v>194</v>
      </c>
      <c r="BY119" s="160">
        <f t="array" ref="BY119">IF(BW119&lt;BX119,BW119,"")</f>
        <v>57</v>
      </c>
      <c r="BZ119" s="160">
        <f t="shared" si="17"/>
        <v>57</v>
      </c>
      <c r="CA119" s="74"/>
      <c r="CB119" s="74" t="str">
        <f t="shared" si="18"/>
        <v>св</v>
      </c>
      <c r="CC119" s="200"/>
      <c r="CD119" s="243"/>
      <c r="CE119" s="200">
        <v>57.0</v>
      </c>
      <c r="CF119" s="25" t="s">
        <v>194</v>
      </c>
      <c r="CG119" s="153">
        <f t="array" ref="CG119">IF(CE119&lt;CF119,CE119,"")</f>
        <v>57</v>
      </c>
      <c r="CH119" s="74">
        <v>57.0</v>
      </c>
      <c r="CI119" s="49"/>
      <c r="CJ119" s="93">
        <v>57.0</v>
      </c>
      <c r="CK119" s="233" t="s">
        <v>194</v>
      </c>
      <c r="CL119" s="153">
        <f t="array" ref="CL119">IF(CJ119&lt;CK119,CJ119,"")</f>
        <v>57</v>
      </c>
      <c r="CM119" s="49">
        <v>57.0</v>
      </c>
      <c r="CN119" s="49"/>
      <c r="CO119" s="74">
        <v>57.0</v>
      </c>
      <c r="CP119" s="200" t="s">
        <v>194</v>
      </c>
      <c r="CQ119" s="153">
        <f t="array" ref="CQ119">IF(CO119&lt;CP119,CO119,"")</f>
        <v>57</v>
      </c>
      <c r="CR119" s="93">
        <v>57.0</v>
      </c>
      <c r="CS119" s="49"/>
      <c r="CT119" s="200">
        <v>57.0</v>
      </c>
      <c r="CU119" s="74" t="s">
        <v>194</v>
      </c>
      <c r="CV119" s="153">
        <f t="array" ref="CV119">IF(CT119&lt;CU119,CT119,"")</f>
        <v>57</v>
      </c>
      <c r="CW119" s="49">
        <v>57.0</v>
      </c>
      <c r="CX119" s="49"/>
      <c r="CY119" s="49">
        <v>57.0</v>
      </c>
      <c r="CZ119" s="49" t="s">
        <v>194</v>
      </c>
      <c r="DA119" s="153">
        <f t="array" ref="DA119">IF(CY119&lt;CZ119,CY119,"")</f>
        <v>57</v>
      </c>
      <c r="DB119" s="49">
        <v>57.0</v>
      </c>
      <c r="DC119" s="49"/>
      <c r="DD119" s="49">
        <v>57.0</v>
      </c>
      <c r="DE119" s="49"/>
      <c r="DF119" s="49"/>
      <c r="DG119" s="49"/>
      <c r="DH119" s="49"/>
    </row>
    <row r="120" ht="13.5" hidden="1" customHeight="1">
      <c r="A120" s="264"/>
      <c r="B120" s="165"/>
      <c r="C120" s="165"/>
      <c r="D120" s="165"/>
      <c r="E120" s="165"/>
      <c r="F120" s="166"/>
      <c r="G120" s="167"/>
      <c r="H120" s="168"/>
      <c r="I120" s="167"/>
      <c r="J120" s="168"/>
      <c r="K120" s="167"/>
      <c r="L120" s="168"/>
      <c r="M120" s="167"/>
      <c r="N120" s="168"/>
      <c r="O120" s="167"/>
      <c r="P120" s="168"/>
      <c r="Q120" s="167"/>
      <c r="R120" s="168"/>
      <c r="S120" s="167"/>
      <c r="T120" s="168"/>
      <c r="U120" s="169"/>
      <c r="V120" s="168"/>
      <c r="W120" s="169"/>
      <c r="X120" s="168"/>
      <c r="Y120" s="167"/>
      <c r="Z120" s="168"/>
      <c r="AA120" s="167"/>
      <c r="AB120" s="166"/>
      <c r="AC120" s="165"/>
      <c r="AD120" s="168"/>
      <c r="AE120" s="170"/>
      <c r="AF120" s="171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257"/>
      <c r="BN120" s="107"/>
      <c r="BO120" s="175" t="str">
        <f>IF(BO119="","",BN119)</f>
        <v/>
      </c>
      <c r="BP120" s="258" t="s">
        <v>195</v>
      </c>
      <c r="BQ120" s="259"/>
      <c r="BT120" s="175" t="str">
        <f>IF(BT119="","",BS119)</f>
        <v/>
      </c>
      <c r="BU120" s="175" t="s">
        <v>195</v>
      </c>
      <c r="BV120" s="196"/>
      <c r="BW120" s="257"/>
      <c r="BX120" s="107"/>
      <c r="BY120" s="160" t="str">
        <f>IF(BY119="","",BX119)</f>
        <v> </v>
      </c>
      <c r="BZ120" s="260" t="str">
        <f t="shared" si="17"/>
        <v> </v>
      </c>
      <c r="CA120" s="261"/>
      <c r="CB120" s="262" t="str">
        <f t="shared" si="18"/>
        <v>св</v>
      </c>
      <c r="CC120" s="261"/>
      <c r="CD120" s="263"/>
      <c r="CG120" s="180" t="str">
        <f>IF(CG119="","",CF119)</f>
        <v> </v>
      </c>
      <c r="CH120" s="200" t="s">
        <v>194</v>
      </c>
      <c r="CI120" s="49"/>
      <c r="CJ120" s="49" t="s">
        <v>195</v>
      </c>
      <c r="CK120" s="235"/>
      <c r="CL120" s="180" t="str">
        <f>IF(CL119="","",CK119)</f>
        <v> </v>
      </c>
      <c r="CM120" s="49" t="s">
        <v>194</v>
      </c>
      <c r="CN120" s="49"/>
      <c r="CQ120" s="180" t="str">
        <f>IF(CQ119="","",CP119)</f>
        <v> </v>
      </c>
      <c r="CR120" s="49" t="s">
        <v>194</v>
      </c>
      <c r="CS120" s="49"/>
      <c r="CV120" s="180" t="str">
        <f>IF(CV119="","",CU119)</f>
        <v> </v>
      </c>
      <c r="CW120" s="49" t="s">
        <v>194</v>
      </c>
      <c r="CX120" s="49"/>
      <c r="CY120" s="49" t="s">
        <v>195</v>
      </c>
      <c r="CZ120" s="49"/>
      <c r="DA120" s="180" t="str">
        <f>IF(DA119="","",CZ119)</f>
        <v> </v>
      </c>
      <c r="DB120" s="49" t="s">
        <v>194</v>
      </c>
      <c r="DC120" s="49"/>
      <c r="DD120" s="49" t="s">
        <v>195</v>
      </c>
      <c r="DE120" s="49"/>
      <c r="DF120" s="49"/>
      <c r="DG120" s="49"/>
      <c r="DH120" s="49"/>
    </row>
    <row r="121" ht="13.5" hidden="1" customHeight="1">
      <c r="A121" s="264"/>
      <c r="B121" s="126">
        <v>58.0</v>
      </c>
      <c r="C121" s="188" t="str">
        <f>(VLOOKUP($B121,'Пр.взв'!$D$6:$J$63,2,0))</f>
        <v>#N/A</v>
      </c>
      <c r="D121" s="189" t="str">
        <f>(VLOOKUP($B121,'Пр.взв'!$D$6:$J$63,5,0))</f>
        <v>#N/A</v>
      </c>
      <c r="E121" s="190" t="str">
        <f>(VLOOKUP($B121,'Пр.взв'!$D$6:$M$63,8,0))</f>
        <v>#N/A</v>
      </c>
      <c r="F121" s="130"/>
      <c r="G121" s="134"/>
      <c r="H121" s="132"/>
      <c r="I121" s="136"/>
      <c r="J121" s="133" t="str">
        <f>IF(H121="Х","Х",IF($AC121&lt;6," ","Х"))</f>
        <v> </v>
      </c>
      <c r="K121" s="134"/>
      <c r="L121" s="133" t="str">
        <f>IF(J121="Х","Х",IF(K121&lt;3," ",IF($AC121&lt;6," ","Х")))</f>
        <v> </v>
      </c>
      <c r="M121" s="134"/>
      <c r="N121" s="133" t="str">
        <f>IF(L121="Х","Х",IF(M121&lt;3," ",IF($AC121&lt;6," ","Х")))</f>
        <v> </v>
      </c>
      <c r="O121" s="134"/>
      <c r="P121" s="133" t="str">
        <f>IF(N121="Х","Х",IF(O121&lt;3," ",IF($AC121&lt;6," ","Х")))</f>
        <v> </v>
      </c>
      <c r="Q121" s="134"/>
      <c r="R121" s="133" t="str">
        <f>IF(P121="Х","Х",IF(Q121&lt;3," ",IF($AC121&lt;6," ","Х")))</f>
        <v> </v>
      </c>
      <c r="S121" s="134"/>
      <c r="T121" s="133" t="str">
        <f>IF(R121="Х","Х",IF(S121&lt;3," ",IF($AC121&lt;6," ","Х")))</f>
        <v> </v>
      </c>
      <c r="U121" s="135"/>
      <c r="V121" s="133" t="str">
        <f>IF(T121="Х","Х",IF(U121&lt;3," ",IF($AC121&lt;6," ","Х")))</f>
        <v> </v>
      </c>
      <c r="W121" s="135"/>
      <c r="X121" s="133" t="str">
        <f>IF(V121="А1",$AZ$7,IF(V121="Б2",$AZ$6,IF(V121="Б1",$BA$7,IF(V121="А2",$BA$6,IF(V121="Х","Х",IF(V121&lt;6," "," "))))))</f>
        <v> </v>
      </c>
      <c r="Y121" s="136"/>
      <c r="Z121" s="133" t="str">
        <f>IF(V121="Х","Х",IF(ISBLANK(Y121),"",IF(Y121&gt;2.5," ",IF(B121=BB$6,BB$7,BB$6))))</f>
        <v/>
      </c>
      <c r="AA121" s="136"/>
      <c r="AB121" s="240" t="str">
        <f>IF(H121="Х",F$5,IF(J121="Х",H$5,IF(L121="Х",J$5,IF(N121="Х",L$5,IF(P121="Х",N$5,IF(R121="Х",P$5,IF(T121="Х",R$5,IF(X121="Х",T$5,""))))))))</f>
        <v/>
      </c>
      <c r="AC121" s="138">
        <f>SUM(G121+I121+K121+M121+O121+Q121+S121+U121+Y121+AA121)</f>
        <v>0</v>
      </c>
      <c r="AD121" s="241" t="str">
        <f>AF121</f>
        <v>25-71</v>
      </c>
      <c r="AE121" s="140" t="str">
        <f>AD121</f>
        <v>25-71</v>
      </c>
      <c r="AF121" s="141" t="str">
        <f>COUNTIF(AG$6:AG$148,"&gt;"&amp;AG$6:AG$148)+1&amp;REPT("-"&amp;COUNTIF(AG$6:AG$148,"&gt;="&amp;AG$6:AG$148),COUNTIF(AG$6:AG$148,AG121)&gt;1)</f>
        <v>25-71</v>
      </c>
      <c r="AG121" s="142">
        <f>(AR121*100)+(AP121*10)-AC121</f>
        <v>80</v>
      </c>
      <c r="AH121" s="143" t="str">
        <f>IF(OR(F121="Х",F121="св")," ",IF(AND(G121&gt;=0,G121&lt;3),"1"," "))</f>
        <v>1</v>
      </c>
      <c r="AI121" s="90" t="str">
        <f>IF(OR(H121="Х",H121="св")," ",IF(AND(I121&gt;=0,I121&lt;3),"1"," "))</f>
        <v>1</v>
      </c>
      <c r="AJ121" s="90" t="str">
        <f>IF(OR(J121="Х",J121="св")," ",IF(AND(K121&gt;=0,K121&lt;3),"1"," "))</f>
        <v>1</v>
      </c>
      <c r="AK121" s="90" t="str">
        <f>IF(OR(L121="Х",L121="св")," ",IF(AND(M121&gt;=0,M121&lt;3),"1"," "))</f>
        <v>1</v>
      </c>
      <c r="AL121" s="90" t="str">
        <f>IF(OR(N121="Х",N121="св")," ",IF(AND(O121&gt;=0,O121&lt;3),"1"," "))</f>
        <v>1</v>
      </c>
      <c r="AM121" s="90" t="str">
        <f>IF(OR(P121="Х",P121="св")," ",IF(AND(Q121&gt;=0,Q121&lt;3),"1"," "))</f>
        <v>1</v>
      </c>
      <c r="AN121" s="90" t="str">
        <f>IF(OR(R121="Х",R121="св")," ",IF(AND(S121&gt;=0,S121&lt;3),"1"," "))</f>
        <v>1</v>
      </c>
      <c r="AO121" s="90" t="str">
        <f>IF(OR(T121="Х",T121="св")," ",IF(AND(U121&gt;=0,U121&lt;3),"1"," "))</f>
        <v>1</v>
      </c>
      <c r="AP121" s="90">
        <f>COUNTIF(AH121:AO122,1)</f>
        <v>8</v>
      </c>
      <c r="AQ121" s="90">
        <f>AG121-AC121</f>
        <v>80</v>
      </c>
      <c r="AR121" s="144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0" t="str">
        <f>COUNTIF(AG$6:AG$134,"&gt;"&amp;AG$6:AG$134)+1&amp;REPT("-"&amp;COUNTIF(AG$6:AG$134,"&gt;="&amp;AG$6:AG$134),COUNTIF(AG$6:AG$134,AG121)&gt;1)</f>
        <v>25-64</v>
      </c>
      <c r="AT121" s="143" t="str">
        <f t="shared" ref="AT121:AW121" si="63">COUNTIF(AU$6:AU$134,"&gt;"&amp;AU$6:AU$134)+1&amp;REPT("-"&amp;COUNTIF(AU$6:AU$134,"&gt;="&amp;AU$6:AU$134),COUNTIF(AU$6:AU$134,AU121)&gt;1)</f>
        <v>1-64</v>
      </c>
      <c r="AU121" s="143" t="str">
        <f t="shared" si="63"/>
        <v>1-0</v>
      </c>
      <c r="AV121" s="143" t="str">
        <f t="shared" si="63"/>
        <v>1</v>
      </c>
      <c r="AW121" s="143" t="str">
        <f t="shared" si="63"/>
        <v>7</v>
      </c>
      <c r="AX121" s="145">
        <f>IF(X121="Х","Х",IF(Y121&lt;3,B121,"Х"))</f>
        <v>58</v>
      </c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195">
        <v>58.0</v>
      </c>
      <c r="BN121" s="196"/>
      <c r="BO121" s="153" t="str">
        <f>IF(BM121&lt;BN121,BM121,"")</f>
        <v/>
      </c>
      <c r="BP121" s="196" t="s">
        <v>195</v>
      </c>
      <c r="BQ121" s="197"/>
      <c r="BR121" s="198" t="s">
        <v>195</v>
      </c>
      <c r="BS121" s="196"/>
      <c r="BT121" s="175" t="str">
        <f>IF(BR121&lt;BS121,BR121,"")</f>
        <v/>
      </c>
      <c r="BU121" s="196" t="s">
        <v>195</v>
      </c>
      <c r="BV121" s="196"/>
      <c r="BW121" s="199">
        <v>58.0</v>
      </c>
      <c r="BX121" s="74" t="s">
        <v>194</v>
      </c>
      <c r="BY121" s="160">
        <f t="array" ref="BY121">IF(BW121&lt;BX121,BW121,"")</f>
        <v>58</v>
      </c>
      <c r="BZ121" s="160">
        <f t="shared" si="17"/>
        <v>58</v>
      </c>
      <c r="CA121" s="74"/>
      <c r="CB121" s="74" t="str">
        <f t="shared" si="18"/>
        <v>св</v>
      </c>
      <c r="CC121" s="200"/>
      <c r="CD121" s="243"/>
      <c r="CE121" s="200">
        <v>58.0</v>
      </c>
      <c r="CF121" s="25" t="s">
        <v>194</v>
      </c>
      <c r="CG121" s="153">
        <f t="array" ref="CG121">IF(CE121&lt;CF121,CE121,"")</f>
        <v>58</v>
      </c>
      <c r="CH121" s="74">
        <v>58.0</v>
      </c>
      <c r="CI121" s="49"/>
      <c r="CJ121" s="93">
        <v>58.0</v>
      </c>
      <c r="CK121" s="233" t="s">
        <v>194</v>
      </c>
      <c r="CL121" s="153">
        <f t="array" ref="CL121">IF(CJ121&lt;CK121,CJ121,"")</f>
        <v>58</v>
      </c>
      <c r="CM121" s="49">
        <v>58.0</v>
      </c>
      <c r="CN121" s="49"/>
      <c r="CO121" s="74">
        <v>58.0</v>
      </c>
      <c r="CP121" s="200" t="s">
        <v>194</v>
      </c>
      <c r="CQ121" s="153">
        <f t="array" ref="CQ121">IF(CO121&lt;CP121,CO121,"")</f>
        <v>58</v>
      </c>
      <c r="CR121" s="93">
        <v>58.0</v>
      </c>
      <c r="CS121" s="49"/>
      <c r="CT121" s="200">
        <v>58.0</v>
      </c>
      <c r="CU121" s="74" t="s">
        <v>194</v>
      </c>
      <c r="CV121" s="153">
        <f t="array" ref="CV121">IF(CT121&lt;CU121,CT121,"")</f>
        <v>58</v>
      </c>
      <c r="CW121" s="49">
        <v>58.0</v>
      </c>
      <c r="CX121" s="49"/>
      <c r="CY121" s="49">
        <v>58.0</v>
      </c>
      <c r="CZ121" s="49" t="s">
        <v>194</v>
      </c>
      <c r="DA121" s="153">
        <f t="array" ref="DA121">IF(CY121&lt;CZ121,CY121,"")</f>
        <v>58</v>
      </c>
      <c r="DB121" s="49">
        <v>58.0</v>
      </c>
      <c r="DC121" s="49"/>
      <c r="DD121" s="49">
        <v>58.0</v>
      </c>
      <c r="DE121" s="49"/>
      <c r="DF121" s="49"/>
      <c r="DG121" s="49"/>
      <c r="DH121" s="49"/>
    </row>
    <row r="122" ht="13.5" hidden="1" customHeight="1">
      <c r="A122" s="264"/>
      <c r="B122" s="165"/>
      <c r="C122" s="165"/>
      <c r="D122" s="165"/>
      <c r="E122" s="165"/>
      <c r="F122" s="166"/>
      <c r="G122" s="167"/>
      <c r="H122" s="168"/>
      <c r="I122" s="167"/>
      <c r="J122" s="168"/>
      <c r="K122" s="167"/>
      <c r="L122" s="168"/>
      <c r="M122" s="167"/>
      <c r="N122" s="168"/>
      <c r="O122" s="167"/>
      <c r="P122" s="168"/>
      <c r="Q122" s="167"/>
      <c r="R122" s="168"/>
      <c r="S122" s="167"/>
      <c r="T122" s="168"/>
      <c r="U122" s="169"/>
      <c r="V122" s="168"/>
      <c r="W122" s="169"/>
      <c r="X122" s="168"/>
      <c r="Y122" s="167"/>
      <c r="Z122" s="168"/>
      <c r="AA122" s="167"/>
      <c r="AB122" s="166"/>
      <c r="AC122" s="165"/>
      <c r="AD122" s="168"/>
      <c r="AE122" s="170"/>
      <c r="AF122" s="171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257"/>
      <c r="BN122" s="107"/>
      <c r="BO122" s="175" t="str">
        <f>IF(BO121="","",BN121)</f>
        <v/>
      </c>
      <c r="BP122" s="258" t="s">
        <v>195</v>
      </c>
      <c r="BQ122" s="259"/>
      <c r="BT122" s="175" t="str">
        <f>IF(BT121="","",BS121)</f>
        <v/>
      </c>
      <c r="BU122" s="175" t="s">
        <v>195</v>
      </c>
      <c r="BV122" s="196"/>
      <c r="BW122" s="257"/>
      <c r="BX122" s="107"/>
      <c r="BY122" s="160" t="str">
        <f>IF(BY121="","",BX121)</f>
        <v> </v>
      </c>
      <c r="BZ122" s="260" t="str">
        <f t="shared" si="17"/>
        <v> </v>
      </c>
      <c r="CA122" s="261"/>
      <c r="CB122" s="262" t="str">
        <f t="shared" si="18"/>
        <v>св</v>
      </c>
      <c r="CC122" s="261"/>
      <c r="CD122" s="263"/>
      <c r="CG122" s="180" t="str">
        <f>IF(CG121="","",CF121)</f>
        <v> </v>
      </c>
      <c r="CH122" s="200" t="s">
        <v>194</v>
      </c>
      <c r="CI122" s="49"/>
      <c r="CJ122" s="49" t="s">
        <v>195</v>
      </c>
      <c r="CK122" s="235"/>
      <c r="CL122" s="180" t="str">
        <f>IF(CL121="","",CK121)</f>
        <v> </v>
      </c>
      <c r="CM122" s="49" t="s">
        <v>194</v>
      </c>
      <c r="CN122" s="49"/>
      <c r="CQ122" s="180" t="str">
        <f>IF(CQ121="","",CP121)</f>
        <v> </v>
      </c>
      <c r="CR122" s="49" t="s">
        <v>194</v>
      </c>
      <c r="CS122" s="49"/>
      <c r="CV122" s="180" t="str">
        <f>IF(CV121="","",CU121)</f>
        <v> </v>
      </c>
      <c r="CW122" s="49" t="s">
        <v>194</v>
      </c>
      <c r="CX122" s="49"/>
      <c r="CY122" s="49" t="s">
        <v>195</v>
      </c>
      <c r="CZ122" s="49"/>
      <c r="DA122" s="180" t="str">
        <f>IF(DA121="","",CZ121)</f>
        <v> </v>
      </c>
      <c r="DB122" s="49" t="s">
        <v>194</v>
      </c>
      <c r="DC122" s="49"/>
      <c r="DD122" s="49" t="s">
        <v>195</v>
      </c>
      <c r="DE122" s="49"/>
      <c r="DF122" s="49"/>
      <c r="DG122" s="49"/>
      <c r="DH122" s="49"/>
    </row>
    <row r="123" ht="13.5" hidden="1" customHeight="1">
      <c r="A123" s="264"/>
      <c r="B123" s="126">
        <v>59.0</v>
      </c>
      <c r="C123" s="188" t="str">
        <f>(VLOOKUP($B123,'Пр.взв'!$D$6:$J$63,2,0))</f>
        <v>#N/A</v>
      </c>
      <c r="D123" s="189" t="str">
        <f>(VLOOKUP($B123,'Пр.взв'!$D$6:$J$63,5,0))</f>
        <v>#N/A</v>
      </c>
      <c r="E123" s="190" t="str">
        <f>(VLOOKUP($B123,'Пр.взв'!$D$6:$M$63,8,0))</f>
        <v>#N/A</v>
      </c>
      <c r="F123" s="130"/>
      <c r="G123" s="134"/>
      <c r="H123" s="132"/>
      <c r="I123" s="136"/>
      <c r="J123" s="133" t="str">
        <f>IF(H123="Х","Х",IF($AC123&lt;6," ","Х"))</f>
        <v> </v>
      </c>
      <c r="K123" s="134"/>
      <c r="L123" s="133" t="str">
        <f>IF(J123="Х","Х",IF(K123&lt;3," ",IF($AC123&lt;6," ","Х")))</f>
        <v> </v>
      </c>
      <c r="M123" s="134"/>
      <c r="N123" s="133" t="str">
        <f>IF(L123="Х","Х",IF(M123&lt;3," ",IF($AC123&lt;6," ","Х")))</f>
        <v> </v>
      </c>
      <c r="O123" s="134"/>
      <c r="P123" s="133" t="str">
        <f>IF(N123="Х","Х",IF(O123&lt;3," ",IF($AC123&lt;6," ","Х")))</f>
        <v> </v>
      </c>
      <c r="Q123" s="134"/>
      <c r="R123" s="133" t="str">
        <f>IF(P123="Х","Х",IF(Q123&lt;3," ",IF($AC123&lt;6," ","Х")))</f>
        <v> </v>
      </c>
      <c r="S123" s="134"/>
      <c r="T123" s="133" t="str">
        <f>IF(R123="Х","Х",IF(S123&lt;3," ",IF($AC123&lt;6," ","Х")))</f>
        <v> </v>
      </c>
      <c r="U123" s="135"/>
      <c r="V123" s="133" t="str">
        <f>IF(T123="Х","Х",IF(U123&lt;3," ",IF($AC123&lt;6," ","Х")))</f>
        <v> </v>
      </c>
      <c r="W123" s="135"/>
      <c r="X123" s="133" t="str">
        <f>IF(V123="А1",$AZ$7,IF(V123="Б2",$AZ$6,IF(V123="Б1",$BA$7,IF(V123="А2",$BA$6,IF(V123="Х","Х",IF(V123&lt;6," "," "))))))</f>
        <v> </v>
      </c>
      <c r="Y123" s="136"/>
      <c r="Z123" s="133" t="str">
        <f>IF(V123="Х","Х",IF(ISBLANK(Y123),"",IF(Y123&gt;2.5," ",IF(B123=BB$6,BB$7,BB$6))))</f>
        <v/>
      </c>
      <c r="AA123" s="136"/>
      <c r="AB123" s="240" t="str">
        <f>IF(H123="Х",F$5,IF(J123="Х",H$5,IF(L123="Х",J$5,IF(N123="Х",L$5,IF(P123="Х",N$5,IF(R123="Х",P$5,IF(T123="Х",R$5,IF(X123="Х",T$5,""))))))))</f>
        <v/>
      </c>
      <c r="AC123" s="138">
        <f>SUM(G123+I123+K123+M123+O123+Q123+S123+U123+Y123+AA123)</f>
        <v>0</v>
      </c>
      <c r="AD123" s="241" t="str">
        <f>AF123</f>
        <v>25-71</v>
      </c>
      <c r="AE123" s="140" t="str">
        <f>AD123</f>
        <v>25-71</v>
      </c>
      <c r="AF123" s="141" t="str">
        <f>COUNTIF(AG$6:AG$148,"&gt;"&amp;AG$6:AG$148)+1&amp;REPT("-"&amp;COUNTIF(AG$6:AG$148,"&gt;="&amp;AG$6:AG$148),COUNTIF(AG$6:AG$148,AG123)&gt;1)</f>
        <v>25-71</v>
      </c>
      <c r="AG123" s="142">
        <f>(AR123*100)+(AP123*10)-AC123</f>
        <v>80</v>
      </c>
      <c r="AH123" s="143" t="str">
        <f>IF(OR(F123="Х",F123="св")," ",IF(AND(G123&gt;=0,G123&lt;3),"1"," "))</f>
        <v>1</v>
      </c>
      <c r="AI123" s="90" t="str">
        <f>IF(OR(H123="Х",H123="св")," ",IF(AND(I123&gt;=0,I123&lt;3),"1"," "))</f>
        <v>1</v>
      </c>
      <c r="AJ123" s="90" t="str">
        <f>IF(OR(J123="Х",J123="св")," ",IF(AND(K123&gt;=0,K123&lt;3),"1"," "))</f>
        <v>1</v>
      </c>
      <c r="AK123" s="90" t="str">
        <f>IF(OR(L123="Х",L123="св")," ",IF(AND(M123&gt;=0,M123&lt;3),"1"," "))</f>
        <v>1</v>
      </c>
      <c r="AL123" s="90" t="str">
        <f>IF(OR(N123="Х",N123="св")," ",IF(AND(O123&gt;=0,O123&lt;3),"1"," "))</f>
        <v>1</v>
      </c>
      <c r="AM123" s="90" t="str">
        <f>IF(OR(P123="Х",P123="св")," ",IF(AND(Q123&gt;=0,Q123&lt;3),"1"," "))</f>
        <v>1</v>
      </c>
      <c r="AN123" s="90" t="str">
        <f>IF(OR(R123="Х",R123="св")," ",IF(AND(S123&gt;=0,S123&lt;3),"1"," "))</f>
        <v>1</v>
      </c>
      <c r="AO123" s="90" t="str">
        <f>IF(OR(T123="Х",T123="св")," ",IF(AND(U123&gt;=0,U123&lt;3),"1"," "))</f>
        <v>1</v>
      </c>
      <c r="AP123" s="90">
        <f>COUNTIF(AH123:AO124,1)</f>
        <v>8</v>
      </c>
      <c r="AQ123" s="90">
        <f>AG123-AC123</f>
        <v>80</v>
      </c>
      <c r="AR123" s="144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0" t="str">
        <f>COUNTIF(AG$6:AG$134,"&gt;"&amp;AG$6:AG$134)+1&amp;REPT("-"&amp;COUNTIF(AG$6:AG$134,"&gt;="&amp;AG$6:AG$134),COUNTIF(AG$6:AG$134,AG123)&gt;1)</f>
        <v>25-64</v>
      </c>
      <c r="AT123" s="143" t="str">
        <f t="shared" ref="AT123:AW123" si="64">COUNTIF(AU$6:AU$134,"&gt;"&amp;AU$6:AU$134)+1&amp;REPT("-"&amp;COUNTIF(AU$6:AU$134,"&gt;="&amp;AU$6:AU$134),COUNTIF(AU$6:AU$134,AU123)&gt;1)</f>
        <v>1-64</v>
      </c>
      <c r="AU123" s="143" t="str">
        <f t="shared" si="64"/>
        <v>1-0</v>
      </c>
      <c r="AV123" s="143" t="str">
        <f t="shared" si="64"/>
        <v>1</v>
      </c>
      <c r="AW123" s="143" t="str">
        <f t="shared" si="64"/>
        <v>6</v>
      </c>
      <c r="AX123" s="145">
        <f>IF(X123="Х","Х",IF(Y123&lt;3,B123,"Х"))</f>
        <v>59</v>
      </c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195">
        <v>59.0</v>
      </c>
      <c r="BN123" s="196"/>
      <c r="BO123" s="153" t="str">
        <f>IF(BM123&lt;BN123,BM123,"")</f>
        <v/>
      </c>
      <c r="BP123" s="196" t="s">
        <v>195</v>
      </c>
      <c r="BQ123" s="197"/>
      <c r="BR123" s="198" t="s">
        <v>195</v>
      </c>
      <c r="BS123" s="196"/>
      <c r="BT123" s="175" t="str">
        <f>IF(BR123&lt;BS123,BR123,"")</f>
        <v/>
      </c>
      <c r="BU123" s="196" t="s">
        <v>195</v>
      </c>
      <c r="BV123" s="196"/>
      <c r="BW123" s="199">
        <v>59.0</v>
      </c>
      <c r="BX123" s="74" t="s">
        <v>194</v>
      </c>
      <c r="BY123" s="160">
        <f t="array" ref="BY123">IF(BW123&lt;BX123,BW123,"")</f>
        <v>59</v>
      </c>
      <c r="BZ123" s="160">
        <f t="shared" si="17"/>
        <v>59</v>
      </c>
      <c r="CA123" s="74"/>
      <c r="CB123" s="74" t="str">
        <f t="shared" si="18"/>
        <v>св</v>
      </c>
      <c r="CC123" s="200"/>
      <c r="CD123" s="243"/>
      <c r="CE123" s="200">
        <v>59.0</v>
      </c>
      <c r="CF123" s="25" t="s">
        <v>194</v>
      </c>
      <c r="CG123" s="153">
        <f t="array" ref="CG123">IF(CE123&lt;CF123,CE123,"")</f>
        <v>59</v>
      </c>
      <c r="CH123" s="74">
        <v>59.0</v>
      </c>
      <c r="CI123" s="49"/>
      <c r="CJ123" s="93">
        <v>59.0</v>
      </c>
      <c r="CK123" s="233" t="s">
        <v>194</v>
      </c>
      <c r="CL123" s="153">
        <f t="array" ref="CL123">IF(CJ123&lt;CK123,CJ123,"")</f>
        <v>59</v>
      </c>
      <c r="CM123" s="49">
        <v>59.0</v>
      </c>
      <c r="CN123" s="49"/>
      <c r="CO123" s="74">
        <v>59.0</v>
      </c>
      <c r="CP123" s="200" t="s">
        <v>194</v>
      </c>
      <c r="CQ123" s="153">
        <f t="array" ref="CQ123">IF(CO123&lt;CP123,CO123,"")</f>
        <v>59</v>
      </c>
      <c r="CR123" s="93">
        <v>59.0</v>
      </c>
      <c r="CS123" s="49"/>
      <c r="CT123" s="200">
        <v>59.0</v>
      </c>
      <c r="CU123" s="74" t="s">
        <v>194</v>
      </c>
      <c r="CV123" s="153">
        <f t="array" ref="CV123">IF(CT123&lt;CU123,CT123,"")</f>
        <v>59</v>
      </c>
      <c r="CW123" s="49">
        <v>59.0</v>
      </c>
      <c r="CX123" s="49"/>
      <c r="CY123" s="49">
        <v>59.0</v>
      </c>
      <c r="CZ123" s="49" t="s">
        <v>194</v>
      </c>
      <c r="DA123" s="153">
        <f t="array" ref="DA123">IF(CY123&lt;CZ123,CY123,"")</f>
        <v>59</v>
      </c>
      <c r="DB123" s="49">
        <v>59.0</v>
      </c>
      <c r="DC123" s="49"/>
      <c r="DD123" s="49">
        <v>59.0</v>
      </c>
      <c r="DE123" s="49"/>
      <c r="DF123" s="49"/>
      <c r="DG123" s="49"/>
      <c r="DH123" s="49"/>
    </row>
    <row r="124" ht="13.5" hidden="1" customHeight="1">
      <c r="A124" s="264"/>
      <c r="B124" s="165"/>
      <c r="C124" s="165"/>
      <c r="D124" s="165"/>
      <c r="E124" s="165"/>
      <c r="F124" s="166"/>
      <c r="G124" s="167"/>
      <c r="H124" s="168"/>
      <c r="I124" s="167"/>
      <c r="J124" s="168"/>
      <c r="K124" s="167"/>
      <c r="L124" s="168"/>
      <c r="M124" s="167"/>
      <c r="N124" s="168"/>
      <c r="O124" s="167"/>
      <c r="P124" s="168"/>
      <c r="Q124" s="167"/>
      <c r="R124" s="168"/>
      <c r="S124" s="167"/>
      <c r="T124" s="168"/>
      <c r="U124" s="169"/>
      <c r="V124" s="168"/>
      <c r="W124" s="169"/>
      <c r="X124" s="168"/>
      <c r="Y124" s="167"/>
      <c r="Z124" s="168"/>
      <c r="AA124" s="167"/>
      <c r="AB124" s="166"/>
      <c r="AC124" s="165"/>
      <c r="AD124" s="168"/>
      <c r="AE124" s="170"/>
      <c r="AF124" s="171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257"/>
      <c r="BN124" s="107"/>
      <c r="BO124" s="175" t="str">
        <f>IF(BO123="","",BN123)</f>
        <v/>
      </c>
      <c r="BP124" s="258" t="s">
        <v>195</v>
      </c>
      <c r="BQ124" s="259"/>
      <c r="BT124" s="175" t="str">
        <f>IF(BT123="","",BS123)</f>
        <v/>
      </c>
      <c r="BU124" s="175" t="s">
        <v>195</v>
      </c>
      <c r="BV124" s="196"/>
      <c r="BW124" s="257"/>
      <c r="BX124" s="107"/>
      <c r="BY124" s="160" t="str">
        <f>IF(BY123="","",BX123)</f>
        <v> </v>
      </c>
      <c r="BZ124" s="260" t="str">
        <f t="shared" si="17"/>
        <v> </v>
      </c>
      <c r="CA124" s="261"/>
      <c r="CB124" s="262" t="str">
        <f t="shared" si="18"/>
        <v>св</v>
      </c>
      <c r="CC124" s="261"/>
      <c r="CD124" s="263"/>
      <c r="CG124" s="180" t="str">
        <f>IF(CG123="","",CF123)</f>
        <v> </v>
      </c>
      <c r="CH124" s="200" t="s">
        <v>194</v>
      </c>
      <c r="CI124" s="49"/>
      <c r="CJ124" s="49" t="s">
        <v>195</v>
      </c>
      <c r="CK124" s="235"/>
      <c r="CL124" s="180" t="str">
        <f>IF(CL123="","",CK123)</f>
        <v> </v>
      </c>
      <c r="CM124" s="49" t="s">
        <v>194</v>
      </c>
      <c r="CN124" s="49"/>
      <c r="CQ124" s="180" t="str">
        <f>IF(CQ123="","",CP123)</f>
        <v> </v>
      </c>
      <c r="CR124" s="49" t="s">
        <v>194</v>
      </c>
      <c r="CS124" s="49"/>
      <c r="CV124" s="180" t="str">
        <f>IF(CV123="","",CU123)</f>
        <v> </v>
      </c>
      <c r="CW124" s="49" t="s">
        <v>194</v>
      </c>
      <c r="CX124" s="49"/>
      <c r="CY124" s="49" t="s">
        <v>195</v>
      </c>
      <c r="CZ124" s="49"/>
      <c r="DA124" s="180" t="str">
        <f>IF(DA123="","",CZ123)</f>
        <v> </v>
      </c>
      <c r="DB124" s="49" t="s">
        <v>194</v>
      </c>
      <c r="DC124" s="49"/>
      <c r="DD124" s="49" t="s">
        <v>195</v>
      </c>
      <c r="DE124" s="49"/>
      <c r="DF124" s="49"/>
      <c r="DG124" s="49"/>
      <c r="DH124" s="49"/>
    </row>
    <row r="125" ht="13.5" hidden="1" customHeight="1">
      <c r="A125" s="264"/>
      <c r="B125" s="126">
        <v>60.0</v>
      </c>
      <c r="C125" s="188" t="str">
        <f>(VLOOKUP($B125,'Пр.взв'!$D$6:$J$63,2,0))</f>
        <v>#N/A</v>
      </c>
      <c r="D125" s="189" t="str">
        <f>(VLOOKUP($B125,'Пр.взв'!$D$6:$J$63,5,0))</f>
        <v>#N/A</v>
      </c>
      <c r="E125" s="190" t="str">
        <f>(VLOOKUP($B125,'Пр.взв'!$D$6:$M$63,8,0))</f>
        <v>#N/A</v>
      </c>
      <c r="F125" s="130"/>
      <c r="G125" s="134"/>
      <c r="H125" s="132"/>
      <c r="I125" s="136"/>
      <c r="J125" s="133" t="str">
        <f>IF(H125="Х","Х",IF($AC125&lt;6," ","Х"))</f>
        <v> </v>
      </c>
      <c r="K125" s="134"/>
      <c r="L125" s="133" t="str">
        <f>IF(J125="Х","Х",IF(K125&lt;3," ",IF($AC125&lt;6," ","Х")))</f>
        <v> </v>
      </c>
      <c r="M125" s="134"/>
      <c r="N125" s="133" t="str">
        <f>IF(L125="Х","Х",IF(M125&lt;3," ",IF($AC125&lt;6," ","Х")))</f>
        <v> </v>
      </c>
      <c r="O125" s="134"/>
      <c r="P125" s="133" t="str">
        <f>IF(N125="Х","Х",IF(O125&lt;3," ",IF($AC125&lt;6," ","Х")))</f>
        <v> </v>
      </c>
      <c r="Q125" s="134"/>
      <c r="R125" s="133" t="str">
        <f>IF(P125="Х","Х",IF(Q125&lt;3," ",IF($AC125&lt;6," ","Х")))</f>
        <v> </v>
      </c>
      <c r="S125" s="134"/>
      <c r="T125" s="133" t="str">
        <f>IF(R125="Х","Х",IF(S125&lt;3," ",IF($AC125&lt;6," ","Х")))</f>
        <v> </v>
      </c>
      <c r="U125" s="135"/>
      <c r="V125" s="133" t="str">
        <f>IF(T125="Х","Х",IF(U125&lt;3," ",IF($AC125&lt;6," ","Х")))</f>
        <v> </v>
      </c>
      <c r="W125" s="135"/>
      <c r="X125" s="133" t="str">
        <f>IF(V125="А1",$AZ$7,IF(V125="Б2",$AZ$6,IF(V125="Б1",$BA$7,IF(V125="А2",$BA$6,IF(V125="Х","Х",IF(V125&lt;6," "," "))))))</f>
        <v> </v>
      </c>
      <c r="Y125" s="136"/>
      <c r="Z125" s="133" t="str">
        <f>IF(V125="Х","Х",IF(ISBLANK(Y125),"",IF(Y125&gt;2.5," ",IF(B125=BB$6,BB$7,BB$6))))</f>
        <v/>
      </c>
      <c r="AA125" s="136"/>
      <c r="AB125" s="240" t="str">
        <f>IF(H125="Х",F$5,IF(J125="Х",H$5,IF(L125="Х",J$5,IF(N125="Х",L$5,IF(P125="Х",N$5,IF(R125="Х",P$5,IF(T125="Х",R$5,IF(X125="Х",T$5,""))))))))</f>
        <v/>
      </c>
      <c r="AC125" s="138">
        <f>SUM(G125+I125+K125+M125+O125+Q125+S125+U125+Y125+AA125)</f>
        <v>0</v>
      </c>
      <c r="AD125" s="241" t="str">
        <f>AF125</f>
        <v>25-71</v>
      </c>
      <c r="AE125" s="140" t="str">
        <f>AD125</f>
        <v>25-71</v>
      </c>
      <c r="AF125" s="141" t="str">
        <f>COUNTIF(AG$6:AG$148,"&gt;"&amp;AG$6:AG$148)+1&amp;REPT("-"&amp;COUNTIF(AG$6:AG$148,"&gt;="&amp;AG$6:AG$148),COUNTIF(AG$6:AG$148,AG125)&gt;1)</f>
        <v>25-71</v>
      </c>
      <c r="AG125" s="142">
        <f>(AR125*100)+(AP125*10)-AC125</f>
        <v>80</v>
      </c>
      <c r="AH125" s="143" t="str">
        <f>IF(OR(F125="Х",F125="св")," ",IF(AND(G125&gt;=0,G125&lt;3),"1"," "))</f>
        <v>1</v>
      </c>
      <c r="AI125" s="90" t="str">
        <f>IF(OR(H125="Х",H125="св")," ",IF(AND(I125&gt;=0,I125&lt;3),"1"," "))</f>
        <v>1</v>
      </c>
      <c r="AJ125" s="90" t="str">
        <f>IF(OR(J125="Х",J125="св")," ",IF(AND(K125&gt;=0,K125&lt;3),"1"," "))</f>
        <v>1</v>
      </c>
      <c r="AK125" s="90" t="str">
        <f>IF(OR(L125="Х",L125="св")," ",IF(AND(M125&gt;=0,M125&lt;3),"1"," "))</f>
        <v>1</v>
      </c>
      <c r="AL125" s="90" t="str">
        <f>IF(OR(N125="Х",N125="св")," ",IF(AND(O125&gt;=0,O125&lt;3),"1"," "))</f>
        <v>1</v>
      </c>
      <c r="AM125" s="90" t="str">
        <f>IF(OR(P125="Х",P125="св")," ",IF(AND(Q125&gt;=0,Q125&lt;3),"1"," "))</f>
        <v>1</v>
      </c>
      <c r="AN125" s="90" t="str">
        <f>IF(OR(R125="Х",R125="св")," ",IF(AND(S125&gt;=0,S125&lt;3),"1"," "))</f>
        <v>1</v>
      </c>
      <c r="AO125" s="90" t="str">
        <f>IF(OR(T125="Х",T125="св")," ",IF(AND(U125&gt;=0,U125&lt;3),"1"," "))</f>
        <v>1</v>
      </c>
      <c r="AP125" s="90">
        <f>COUNTIF(AH125:AO126,1)</f>
        <v>8</v>
      </c>
      <c r="AQ125" s="90">
        <f>AG125-AC125</f>
        <v>80</v>
      </c>
      <c r="AR125" s="144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0" t="str">
        <f>COUNTIF(AG$6:AG$134,"&gt;"&amp;AG$6:AG$134)+1&amp;REPT("-"&amp;COUNTIF(AG$6:AG$134,"&gt;="&amp;AG$6:AG$134),COUNTIF(AG$6:AG$134,AG125)&gt;1)</f>
        <v>25-64</v>
      </c>
      <c r="AT125" s="143" t="str">
        <f t="shared" ref="AT125:AW125" si="65">COUNTIF(AU$6:AU$134,"&gt;"&amp;AU$6:AU$134)+1&amp;REPT("-"&amp;COUNTIF(AU$6:AU$134,"&gt;="&amp;AU$6:AU$134),COUNTIF(AU$6:AU$134,AU125)&gt;1)</f>
        <v>1-64</v>
      </c>
      <c r="AU125" s="143" t="str">
        <f t="shared" si="65"/>
        <v>1-0</v>
      </c>
      <c r="AV125" s="143" t="str">
        <f t="shared" si="65"/>
        <v>1</v>
      </c>
      <c r="AW125" s="143" t="str">
        <f t="shared" si="65"/>
        <v>5</v>
      </c>
      <c r="AX125" s="145">
        <f>IF(X125="Х","Х",IF(Y125&lt;3,B125,"Х"))</f>
        <v>60</v>
      </c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195">
        <v>60.0</v>
      </c>
      <c r="BN125" s="196"/>
      <c r="BO125" s="153" t="str">
        <f>IF(BM125&lt;BN125,BM125,"")</f>
        <v/>
      </c>
      <c r="BP125" s="196" t="s">
        <v>195</v>
      </c>
      <c r="BQ125" s="197"/>
      <c r="BR125" s="198" t="s">
        <v>195</v>
      </c>
      <c r="BS125" s="196"/>
      <c r="BT125" s="175" t="str">
        <f>IF(BR125&lt;BS125,BR125,"")</f>
        <v/>
      </c>
      <c r="BU125" s="196" t="s">
        <v>195</v>
      </c>
      <c r="BV125" s="196"/>
      <c r="BW125" s="199">
        <v>60.0</v>
      </c>
      <c r="BX125" s="74" t="s">
        <v>194</v>
      </c>
      <c r="BY125" s="160">
        <f t="array" ref="BY125">IF(BW125&lt;BX125,BW125,"")</f>
        <v>60</v>
      </c>
      <c r="BZ125" s="160">
        <f t="shared" si="17"/>
        <v>60</v>
      </c>
      <c r="CA125" s="74"/>
      <c r="CB125" s="74" t="str">
        <f t="shared" si="18"/>
        <v>св</v>
      </c>
      <c r="CC125" s="200"/>
      <c r="CD125" s="243"/>
      <c r="CE125" s="200">
        <v>60.0</v>
      </c>
      <c r="CF125" s="25" t="s">
        <v>194</v>
      </c>
      <c r="CG125" s="153">
        <f t="array" ref="CG125">IF(CE125&lt;CF125,CE125,"")</f>
        <v>60</v>
      </c>
      <c r="CH125" s="74">
        <v>60.0</v>
      </c>
      <c r="CI125" s="49"/>
      <c r="CJ125" s="93">
        <v>60.0</v>
      </c>
      <c r="CK125" s="233" t="s">
        <v>194</v>
      </c>
      <c r="CL125" s="153">
        <f t="array" ref="CL125">IF(CJ125&lt;CK125,CJ125,"")</f>
        <v>60</v>
      </c>
      <c r="CM125" s="49">
        <v>60.0</v>
      </c>
      <c r="CN125" s="49"/>
      <c r="CO125" s="74">
        <v>60.0</v>
      </c>
      <c r="CP125" s="200" t="s">
        <v>194</v>
      </c>
      <c r="CQ125" s="153">
        <f t="array" ref="CQ125">IF(CO125&lt;CP125,CO125,"")</f>
        <v>60</v>
      </c>
      <c r="CR125" s="93">
        <v>60.0</v>
      </c>
      <c r="CS125" s="49"/>
      <c r="CT125" s="200">
        <v>60.0</v>
      </c>
      <c r="CU125" s="74" t="s">
        <v>194</v>
      </c>
      <c r="CV125" s="153">
        <f t="array" ref="CV125">IF(CT125&lt;CU125,CT125,"")</f>
        <v>60</v>
      </c>
      <c r="CW125" s="49">
        <v>60.0</v>
      </c>
      <c r="CX125" s="49"/>
      <c r="CY125" s="49">
        <v>60.0</v>
      </c>
      <c r="CZ125" s="49" t="s">
        <v>194</v>
      </c>
      <c r="DA125" s="153">
        <f t="array" ref="DA125">IF(CY125&lt;CZ125,CY125,"")</f>
        <v>60</v>
      </c>
      <c r="DB125" s="49">
        <v>60.0</v>
      </c>
      <c r="DC125" s="49"/>
      <c r="DD125" s="49">
        <v>60.0</v>
      </c>
      <c r="DE125" s="49"/>
      <c r="DF125" s="49"/>
      <c r="DG125" s="49"/>
      <c r="DH125" s="49"/>
    </row>
    <row r="126" ht="13.5" hidden="1" customHeight="1">
      <c r="A126" s="264"/>
      <c r="B126" s="165"/>
      <c r="C126" s="165"/>
      <c r="D126" s="165"/>
      <c r="E126" s="165"/>
      <c r="F126" s="166"/>
      <c r="G126" s="167"/>
      <c r="H126" s="168"/>
      <c r="I126" s="167"/>
      <c r="J126" s="168"/>
      <c r="K126" s="167"/>
      <c r="L126" s="168"/>
      <c r="M126" s="167"/>
      <c r="N126" s="168"/>
      <c r="O126" s="167"/>
      <c r="P126" s="168"/>
      <c r="Q126" s="167"/>
      <c r="R126" s="168"/>
      <c r="S126" s="167"/>
      <c r="T126" s="168"/>
      <c r="U126" s="169"/>
      <c r="V126" s="168"/>
      <c r="W126" s="169"/>
      <c r="X126" s="168"/>
      <c r="Y126" s="167"/>
      <c r="Z126" s="168"/>
      <c r="AA126" s="167"/>
      <c r="AB126" s="166"/>
      <c r="AC126" s="165"/>
      <c r="AD126" s="168"/>
      <c r="AE126" s="170"/>
      <c r="AF126" s="171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257"/>
      <c r="BN126" s="107"/>
      <c r="BO126" s="175" t="str">
        <f>IF(BO125="","",BN125)</f>
        <v/>
      </c>
      <c r="BP126" s="258" t="s">
        <v>195</v>
      </c>
      <c r="BQ126" s="259"/>
      <c r="BT126" s="175" t="str">
        <f>IF(BT125="","",BS125)</f>
        <v/>
      </c>
      <c r="BU126" s="175" t="s">
        <v>195</v>
      </c>
      <c r="BV126" s="196"/>
      <c r="BW126" s="257"/>
      <c r="BX126" s="107"/>
      <c r="BY126" s="160" t="str">
        <f>IF(BY125="","",BX125)</f>
        <v> </v>
      </c>
      <c r="BZ126" s="260" t="str">
        <f t="shared" si="17"/>
        <v> </v>
      </c>
      <c r="CA126" s="261"/>
      <c r="CB126" s="262" t="str">
        <f t="shared" si="18"/>
        <v>св</v>
      </c>
      <c r="CC126" s="261"/>
      <c r="CD126" s="263"/>
      <c r="CG126" s="180" t="str">
        <f>IF(CG125="","",CF125)</f>
        <v> </v>
      </c>
      <c r="CH126" s="200" t="s">
        <v>194</v>
      </c>
      <c r="CI126" s="49"/>
      <c r="CJ126" s="49" t="s">
        <v>195</v>
      </c>
      <c r="CK126" s="235"/>
      <c r="CL126" s="180" t="str">
        <f>IF(CL125="","",CK125)</f>
        <v> </v>
      </c>
      <c r="CM126" s="49" t="s">
        <v>194</v>
      </c>
      <c r="CN126" s="49"/>
      <c r="CQ126" s="180" t="str">
        <f>IF(CQ125="","",CP125)</f>
        <v> </v>
      </c>
      <c r="CR126" s="49" t="s">
        <v>194</v>
      </c>
      <c r="CS126" s="49"/>
      <c r="CV126" s="180" t="str">
        <f>IF(CV125="","",CU125)</f>
        <v> </v>
      </c>
      <c r="CW126" s="49" t="s">
        <v>194</v>
      </c>
      <c r="CX126" s="49"/>
      <c r="CY126" s="49" t="s">
        <v>195</v>
      </c>
      <c r="CZ126" s="49"/>
      <c r="DA126" s="180" t="str">
        <f>IF(DA125="","",CZ125)</f>
        <v> </v>
      </c>
      <c r="DB126" s="49" t="s">
        <v>194</v>
      </c>
      <c r="DC126" s="49"/>
      <c r="DD126" s="49" t="s">
        <v>195</v>
      </c>
      <c r="DE126" s="49"/>
      <c r="DF126" s="49"/>
      <c r="DG126" s="49"/>
      <c r="DH126" s="49"/>
    </row>
    <row r="127" ht="13.5" hidden="1" customHeight="1">
      <c r="A127" s="264"/>
      <c r="B127" s="126">
        <v>61.0</v>
      </c>
      <c r="C127" s="188" t="str">
        <f>(VLOOKUP($B127,'Пр.взв'!$D$6:$J$63,2,0))</f>
        <v>#N/A</v>
      </c>
      <c r="D127" s="189" t="str">
        <f>(VLOOKUP($B127,'Пр.взв'!$D$6:$J$63,5,0))</f>
        <v>#N/A</v>
      </c>
      <c r="E127" s="190" t="str">
        <f>(VLOOKUP($B127,'Пр.взв'!$D$6:$M$63,8,0))</f>
        <v>#N/A</v>
      </c>
      <c r="F127" s="130"/>
      <c r="G127" s="134"/>
      <c r="H127" s="132"/>
      <c r="I127" s="134"/>
      <c r="J127" s="133" t="str">
        <f>IF(H127="Х","Х",IF($AC127&lt;6," ","Х"))</f>
        <v> </v>
      </c>
      <c r="K127" s="134"/>
      <c r="L127" s="133" t="str">
        <f>IF(J127="Х","Х",IF(K127&lt;3," ",IF($AC127&lt;6," ","Х")))</f>
        <v> </v>
      </c>
      <c r="M127" s="134"/>
      <c r="N127" s="133" t="str">
        <f>IF(L127="Х","Х",IF(M127&lt;3," ",IF($AC127&lt;6," ","Х")))</f>
        <v> </v>
      </c>
      <c r="O127" s="134"/>
      <c r="P127" s="133" t="str">
        <f>IF(N127="Х","Х",IF(O127&lt;3," ",IF($AC127&lt;6," ","Х")))</f>
        <v> </v>
      </c>
      <c r="Q127" s="134"/>
      <c r="R127" s="133" t="str">
        <f>IF(P127="Х","Х",IF(Q127&lt;3," ",IF($AC127&lt;6," ","Х")))</f>
        <v> </v>
      </c>
      <c r="S127" s="134"/>
      <c r="T127" s="133" t="str">
        <f>IF(R127="Х","Х",IF(S127&lt;3," ",IF($AC127&lt;6," ","Х")))</f>
        <v> </v>
      </c>
      <c r="U127" s="135"/>
      <c r="V127" s="133" t="str">
        <f>IF(T127="Х","Х",IF(U127&lt;3," ",IF($AC127&lt;6," ","Х")))</f>
        <v> </v>
      </c>
      <c r="W127" s="135"/>
      <c r="X127" s="133" t="str">
        <f>IF(V127="А1",$AZ$7,IF(V127="Б2",$AZ$6,IF(V127="Б1",$BA$7,IF(V127="А2",$BA$6,IF(V127="Х","Х",IF(V127&lt;6," "," "))))))</f>
        <v> </v>
      </c>
      <c r="Y127" s="136"/>
      <c r="Z127" s="133" t="str">
        <f>IF(V127="Х","Х",IF(ISBLANK(Y127),"",IF(Y127&gt;2.5," ",IF(B127=BB$6,BB$7,BB$6))))</f>
        <v/>
      </c>
      <c r="AA127" s="136"/>
      <c r="AB127" s="240" t="str">
        <f>IF(H127="Х",F$5,IF(J127="Х",H$5,IF(L127="Х",J$5,IF(N127="Х",L$5,IF(P127="Х",N$5,IF(R127="Х",P$5,IF(T127="Х",R$5,IF(X127="Х",T$5,""))))))))</f>
        <v/>
      </c>
      <c r="AC127" s="138">
        <f>SUM(G127+I127+K127+M127+O127+Q127+S127+U127+Y127+AA127)</f>
        <v>0</v>
      </c>
      <c r="AD127" s="241" t="str">
        <f>AF127</f>
        <v>25-71</v>
      </c>
      <c r="AE127" s="140" t="str">
        <f>AD127</f>
        <v>25-71</v>
      </c>
      <c r="AF127" s="141" t="str">
        <f>COUNTIF(AG$6:AG$148,"&gt;"&amp;AG$6:AG$148)+1&amp;REPT("-"&amp;COUNTIF(AG$6:AG$148,"&gt;="&amp;AG$6:AG$148),COUNTIF(AG$6:AG$148,AG127)&gt;1)</f>
        <v>25-71</v>
      </c>
      <c r="AG127" s="142">
        <f>(AR127*100)+(AP127*10)-AC127</f>
        <v>80</v>
      </c>
      <c r="AH127" s="143" t="str">
        <f>IF(OR(F127="Х",F127="св")," ",IF(AND(G127&gt;=0,G127&lt;3),"1"," "))</f>
        <v>1</v>
      </c>
      <c r="AI127" s="90" t="str">
        <f>IF(OR(H127="Х",H127="св")," ",IF(AND(I127&gt;=0,I127&lt;3),"1"," "))</f>
        <v>1</v>
      </c>
      <c r="AJ127" s="90" t="str">
        <f>IF(OR(J127="Х",J127="св")," ",IF(AND(K127&gt;=0,K127&lt;3),"1"," "))</f>
        <v>1</v>
      </c>
      <c r="AK127" s="90" t="str">
        <f>IF(OR(L127="Х",L127="св")," ",IF(AND(M127&gt;=0,M127&lt;3),"1"," "))</f>
        <v>1</v>
      </c>
      <c r="AL127" s="90" t="str">
        <f>IF(OR(N127="Х",N127="св")," ",IF(AND(O127&gt;=0,O127&lt;3),"1"," "))</f>
        <v>1</v>
      </c>
      <c r="AM127" s="90" t="str">
        <f>IF(OR(P127="Х",P127="св")," ",IF(AND(Q127&gt;=0,Q127&lt;3),"1"," "))</f>
        <v>1</v>
      </c>
      <c r="AN127" s="90" t="str">
        <f>IF(OR(R127="Х",R127="св")," ",IF(AND(S127&gt;=0,S127&lt;3),"1"," "))</f>
        <v>1</v>
      </c>
      <c r="AO127" s="90" t="str">
        <f>IF(OR(T127="Х",T127="св")," ",IF(AND(U127&gt;=0,U127&lt;3),"1"," "))</f>
        <v>1</v>
      </c>
      <c r="AP127" s="90">
        <f>COUNTIF(AH127:AO128,1)</f>
        <v>8</v>
      </c>
      <c r="AQ127" s="90">
        <f>AG127-AC127</f>
        <v>80</v>
      </c>
      <c r="AR127" s="144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0" t="str">
        <f>COUNTIF(AG$6:AG$134,"&gt;"&amp;AG$6:AG$134)+1&amp;REPT("-"&amp;COUNTIF(AG$6:AG$134,"&gt;="&amp;AG$6:AG$134),COUNTIF(AG$6:AG$134,AG127)&gt;1)</f>
        <v>25-64</v>
      </c>
      <c r="AT127" s="143" t="str">
        <f t="shared" ref="AT127:AW127" si="66">COUNTIF(AU$6:AU$134,"&gt;"&amp;AU$6:AU$134)+1&amp;REPT("-"&amp;COUNTIF(AU$6:AU$134,"&gt;="&amp;AU$6:AU$134),COUNTIF(AU$6:AU$134,AU127)&gt;1)</f>
        <v>1-64</v>
      </c>
      <c r="AU127" s="143" t="str">
        <f t="shared" si="66"/>
        <v>1-0</v>
      </c>
      <c r="AV127" s="143" t="str">
        <f t="shared" si="66"/>
        <v>1</v>
      </c>
      <c r="AW127" s="143" t="str">
        <f t="shared" si="66"/>
        <v>4</v>
      </c>
      <c r="AX127" s="145">
        <f>IF(X127="Х","Х",IF(Y127&lt;3,B127,"Х"))</f>
        <v>61</v>
      </c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195">
        <v>61.0</v>
      </c>
      <c r="BN127" s="196"/>
      <c r="BO127" s="153" t="str">
        <f>IF(BM127&lt;BN127,BM127,"")</f>
        <v/>
      </c>
      <c r="BP127" s="196" t="s">
        <v>195</v>
      </c>
      <c r="BQ127" s="197"/>
      <c r="BR127" s="198" t="s">
        <v>195</v>
      </c>
      <c r="BS127" s="196"/>
      <c r="BT127" s="175" t="str">
        <f>IF(BR127&lt;BS127,BR127,"")</f>
        <v/>
      </c>
      <c r="BU127" s="196" t="s">
        <v>195</v>
      </c>
      <c r="BV127" s="196"/>
      <c r="BW127" s="199">
        <v>61.0</v>
      </c>
      <c r="BX127" s="74" t="s">
        <v>194</v>
      </c>
      <c r="BY127" s="160">
        <f t="array" ref="BY127">IF(BW127&lt;BX127,BW127,"")</f>
        <v>61</v>
      </c>
      <c r="BZ127" s="160">
        <f t="shared" si="17"/>
        <v>61</v>
      </c>
      <c r="CA127" s="74"/>
      <c r="CB127" s="74" t="str">
        <f t="shared" si="18"/>
        <v>св</v>
      </c>
      <c r="CC127" s="200"/>
      <c r="CD127" s="243"/>
      <c r="CE127" s="200">
        <v>61.0</v>
      </c>
      <c r="CF127" s="25" t="s">
        <v>194</v>
      </c>
      <c r="CG127" s="153">
        <f t="array" ref="CG127">IF(CE127&lt;CF127,CE127,"")</f>
        <v>61</v>
      </c>
      <c r="CH127" s="74">
        <v>61.0</v>
      </c>
      <c r="CI127" s="49"/>
      <c r="CJ127" s="93">
        <v>61.0</v>
      </c>
      <c r="CK127" s="233" t="s">
        <v>194</v>
      </c>
      <c r="CL127" s="153">
        <f t="array" ref="CL127">IF(CJ127&lt;CK127,CJ127,"")</f>
        <v>61</v>
      </c>
      <c r="CM127" s="49">
        <v>61.0</v>
      </c>
      <c r="CN127" s="49"/>
      <c r="CO127" s="74">
        <v>61.0</v>
      </c>
      <c r="CP127" s="200" t="s">
        <v>194</v>
      </c>
      <c r="CQ127" s="153">
        <f t="array" ref="CQ127">IF(CO127&lt;CP127,CO127,"")</f>
        <v>61</v>
      </c>
      <c r="CR127" s="93">
        <v>61.0</v>
      </c>
      <c r="CS127" s="49"/>
      <c r="CT127" s="200">
        <v>61.0</v>
      </c>
      <c r="CU127" s="74" t="s">
        <v>194</v>
      </c>
      <c r="CV127" s="153">
        <f t="array" ref="CV127">IF(CT127&lt;CU127,CT127,"")</f>
        <v>61</v>
      </c>
      <c r="CW127" s="49">
        <v>61.0</v>
      </c>
      <c r="CX127" s="49"/>
      <c r="CY127" s="49">
        <v>61.0</v>
      </c>
      <c r="CZ127" s="49" t="s">
        <v>194</v>
      </c>
      <c r="DA127" s="153">
        <f t="array" ref="DA127">IF(CY127&lt;CZ127,CY127,"")</f>
        <v>61</v>
      </c>
      <c r="DB127" s="49">
        <v>61.0</v>
      </c>
      <c r="DC127" s="49"/>
      <c r="DD127" s="49">
        <v>61.0</v>
      </c>
      <c r="DE127" s="49"/>
      <c r="DF127" s="49"/>
      <c r="DG127" s="49"/>
      <c r="DH127" s="49"/>
    </row>
    <row r="128" ht="13.5" hidden="1" customHeight="1">
      <c r="A128" s="264"/>
      <c r="B128" s="165"/>
      <c r="C128" s="165"/>
      <c r="D128" s="165"/>
      <c r="E128" s="165"/>
      <c r="F128" s="166"/>
      <c r="G128" s="167"/>
      <c r="H128" s="168"/>
      <c r="I128" s="167"/>
      <c r="J128" s="168"/>
      <c r="K128" s="167"/>
      <c r="L128" s="168"/>
      <c r="M128" s="167"/>
      <c r="N128" s="168"/>
      <c r="O128" s="167"/>
      <c r="P128" s="168"/>
      <c r="Q128" s="167"/>
      <c r="R128" s="168"/>
      <c r="S128" s="167"/>
      <c r="T128" s="168"/>
      <c r="U128" s="169"/>
      <c r="V128" s="168"/>
      <c r="W128" s="169"/>
      <c r="X128" s="168"/>
      <c r="Y128" s="167"/>
      <c r="Z128" s="168"/>
      <c r="AA128" s="167"/>
      <c r="AB128" s="166"/>
      <c r="AC128" s="165"/>
      <c r="AD128" s="168"/>
      <c r="AE128" s="170"/>
      <c r="AF128" s="171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257"/>
      <c r="BN128" s="107"/>
      <c r="BO128" s="175" t="str">
        <f>IF(BO127="","",BN127)</f>
        <v/>
      </c>
      <c r="BP128" s="258" t="s">
        <v>195</v>
      </c>
      <c r="BQ128" s="259"/>
      <c r="BT128" s="175" t="str">
        <f>IF(BT127="","",BS127)</f>
        <v/>
      </c>
      <c r="BU128" s="175" t="s">
        <v>195</v>
      </c>
      <c r="BV128" s="196"/>
      <c r="BW128" s="257"/>
      <c r="BX128" s="107"/>
      <c r="BY128" s="160" t="str">
        <f>IF(BY127="","",BX127)</f>
        <v> </v>
      </c>
      <c r="BZ128" s="260" t="str">
        <f t="shared" si="17"/>
        <v> </v>
      </c>
      <c r="CA128" s="261"/>
      <c r="CB128" s="262" t="str">
        <f t="shared" si="18"/>
        <v>св</v>
      </c>
      <c r="CC128" s="261"/>
      <c r="CD128" s="263"/>
      <c r="CG128" s="180" t="str">
        <f>IF(CG127="","",CF127)</f>
        <v> </v>
      </c>
      <c r="CH128" s="200" t="s">
        <v>194</v>
      </c>
      <c r="CI128" s="49"/>
      <c r="CJ128" s="49" t="s">
        <v>195</v>
      </c>
      <c r="CK128" s="235"/>
      <c r="CL128" s="180" t="str">
        <f>IF(CL127="","",CK127)</f>
        <v> </v>
      </c>
      <c r="CM128" s="49" t="s">
        <v>194</v>
      </c>
      <c r="CN128" s="49"/>
      <c r="CQ128" s="180" t="str">
        <f>IF(CQ127="","",CP127)</f>
        <v> </v>
      </c>
      <c r="CR128" s="49" t="s">
        <v>194</v>
      </c>
      <c r="CS128" s="49"/>
      <c r="CV128" s="180" t="str">
        <f>IF(CV127="","",CU127)</f>
        <v> </v>
      </c>
      <c r="CW128" s="49" t="s">
        <v>194</v>
      </c>
      <c r="CX128" s="49"/>
      <c r="CY128" s="49" t="s">
        <v>195</v>
      </c>
      <c r="CZ128" s="49"/>
      <c r="DA128" s="180" t="str">
        <f>IF(DA127="","",CZ127)</f>
        <v> </v>
      </c>
      <c r="DB128" s="49" t="s">
        <v>194</v>
      </c>
      <c r="DC128" s="49"/>
      <c r="DD128" s="49" t="s">
        <v>195</v>
      </c>
      <c r="DE128" s="49"/>
      <c r="DF128" s="49"/>
      <c r="DG128" s="49"/>
      <c r="DH128" s="49"/>
    </row>
    <row r="129" ht="13.5" hidden="1" customHeight="1">
      <c r="A129" s="264"/>
      <c r="B129" s="126">
        <v>62.0</v>
      </c>
      <c r="C129" s="188" t="str">
        <f>(VLOOKUP($B129,'Пр.взв'!$D$6:$J$63,2,0))</f>
        <v>#N/A</v>
      </c>
      <c r="D129" s="189" t="str">
        <f>(VLOOKUP($B129,'Пр.взв'!$D$6:$J$63,5,0))</f>
        <v>#N/A</v>
      </c>
      <c r="E129" s="190" t="str">
        <f>(VLOOKUP($B129,'Пр.взв'!$D$6:$M$63,8,0))</f>
        <v>#N/A</v>
      </c>
      <c r="F129" s="130"/>
      <c r="G129" s="134"/>
      <c r="H129" s="132"/>
      <c r="I129" s="134"/>
      <c r="J129" s="133" t="str">
        <f>IF(H129="Х","Х",IF($AC129&lt;6," ","Х"))</f>
        <v> </v>
      </c>
      <c r="K129" s="134"/>
      <c r="L129" s="133" t="str">
        <f>IF(J129="Х","Х",IF(K129&lt;3," ",IF($AC129&lt;6," ","Х")))</f>
        <v> </v>
      </c>
      <c r="M129" s="134"/>
      <c r="N129" s="133" t="str">
        <f>IF(L129="Х","Х",IF(M129&lt;3," ",IF($AC129&lt;6," ","Х")))</f>
        <v> </v>
      </c>
      <c r="O129" s="134"/>
      <c r="P129" s="133" t="str">
        <f>IF(N129="Х","Х",IF(O129&lt;3," ",IF($AC129&lt;6," ","Х")))</f>
        <v> </v>
      </c>
      <c r="Q129" s="134"/>
      <c r="R129" s="133" t="str">
        <f>IF(P129="Х","Х",IF(Q129&lt;3," ",IF($AC129&lt;6," ","Х")))</f>
        <v> </v>
      </c>
      <c r="S129" s="134"/>
      <c r="T129" s="133" t="str">
        <f>IF(R129="Х","Х",IF(S129&lt;3," ",IF($AC129&lt;6," ","Х")))</f>
        <v> </v>
      </c>
      <c r="U129" s="135"/>
      <c r="V129" s="133" t="str">
        <f>IF(T129="Х","Х",IF(U129&lt;3," ",IF($AC129&lt;6," ","Х")))</f>
        <v> </v>
      </c>
      <c r="W129" s="135"/>
      <c r="X129" s="133" t="str">
        <f>IF(V129="А1",$AZ$7,IF(V129="Б2",$AZ$6,IF(V129="Б1",$BA$7,IF(V129="А2",$BA$6,IF(V129="Х","Х",IF(V129&lt;6," "," "))))))</f>
        <v> </v>
      </c>
      <c r="Y129" s="136"/>
      <c r="Z129" s="133" t="str">
        <f>IF(V129="Х","Х",IF(ISBLANK(Y129),"",IF(Y129&gt;2.5," ",IF(B129=BB$6,BB$7,BB$6))))</f>
        <v/>
      </c>
      <c r="AA129" s="136"/>
      <c r="AB129" s="240" t="str">
        <f>IF(H129="Х",F$5,IF(J129="Х",H$5,IF(L129="Х",J$5,IF(N129="Х",L$5,IF(P129="Х",N$5,IF(R129="Х",P$5,IF(T129="Х",R$5,IF(X129="Х",T$5,""))))))))</f>
        <v/>
      </c>
      <c r="AC129" s="138">
        <f>SUM(G129+I129+K129+M129+O129+Q129+S129+U129+Y129+AA129)</f>
        <v>0</v>
      </c>
      <c r="AD129" s="241" t="str">
        <f>AF129</f>
        <v>25-71</v>
      </c>
      <c r="AE129" s="140" t="str">
        <f>AD129</f>
        <v>25-71</v>
      </c>
      <c r="AF129" s="141" t="str">
        <f>COUNTIF(AG$6:AG$148,"&gt;"&amp;AG$6:AG$148)+1&amp;REPT("-"&amp;COUNTIF(AG$6:AG$148,"&gt;="&amp;AG$6:AG$148),COUNTIF(AG$6:AG$148,AG129)&gt;1)</f>
        <v>25-71</v>
      </c>
      <c r="AG129" s="142">
        <f>(AR129*100)+(AP129*10)-AC129</f>
        <v>80</v>
      </c>
      <c r="AH129" s="143" t="str">
        <f>IF(OR(F129="Х",F129="св")," ",IF(AND(G129&gt;=0,G129&lt;3),"1"," "))</f>
        <v>1</v>
      </c>
      <c r="AI129" s="90" t="str">
        <f>IF(OR(H129="Х",H129="св")," ",IF(AND(I129&gt;=0,I129&lt;3),"1"," "))</f>
        <v>1</v>
      </c>
      <c r="AJ129" s="90" t="str">
        <f>IF(OR(J129="Х",J129="св")," ",IF(AND(K129&gt;=0,K129&lt;3),"1"," "))</f>
        <v>1</v>
      </c>
      <c r="AK129" s="90" t="str">
        <f>IF(OR(L129="Х",L129="св")," ",IF(AND(M129&gt;=0,M129&lt;3),"1"," "))</f>
        <v>1</v>
      </c>
      <c r="AL129" s="90" t="str">
        <f>IF(OR(N129="Х",N129="св")," ",IF(AND(O129&gt;=0,O129&lt;3),"1"," "))</f>
        <v>1</v>
      </c>
      <c r="AM129" s="90" t="str">
        <f>IF(OR(P129="Х",P129="св")," ",IF(AND(Q129&gt;=0,Q129&lt;3),"1"," "))</f>
        <v>1</v>
      </c>
      <c r="AN129" s="90" t="str">
        <f>IF(OR(R129="Х",R129="св")," ",IF(AND(S129&gt;=0,S129&lt;3),"1"," "))</f>
        <v>1</v>
      </c>
      <c r="AO129" s="90" t="str">
        <f>IF(OR(T129="Х",T129="св")," ",IF(AND(U129&gt;=0,U129&lt;3),"1"," "))</f>
        <v>1</v>
      </c>
      <c r="AP129" s="90">
        <f>COUNTIF(AH129:AO130,1)</f>
        <v>8</v>
      </c>
      <c r="AQ129" s="90">
        <f>AG129-AC129</f>
        <v>80</v>
      </c>
      <c r="AR129" s="144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0" t="str">
        <f>COUNTIF(AG$6:AG$134,"&gt;"&amp;AG$6:AG$134)+1&amp;REPT("-"&amp;COUNTIF(AG$6:AG$134,"&gt;="&amp;AG$6:AG$134),COUNTIF(AG$6:AG$134,AG129)&gt;1)</f>
        <v>25-64</v>
      </c>
      <c r="AT129" s="143" t="str">
        <f t="shared" ref="AT129:AW129" si="67">COUNTIF(AU$6:AU$134,"&gt;"&amp;AU$6:AU$134)+1&amp;REPT("-"&amp;COUNTIF(AU$6:AU$134,"&gt;="&amp;AU$6:AU$134),COUNTIF(AU$6:AU$134,AU129)&gt;1)</f>
        <v>1-64</v>
      </c>
      <c r="AU129" s="143" t="str">
        <f t="shared" si="67"/>
        <v>1-0</v>
      </c>
      <c r="AV129" s="143" t="str">
        <f t="shared" si="67"/>
        <v>1</v>
      </c>
      <c r="AW129" s="143" t="str">
        <f t="shared" si="67"/>
        <v>3</v>
      </c>
      <c r="AX129" s="145">
        <f>IF(X129="Х","Х",IF(Y129&lt;3,B129,"Х"))</f>
        <v>62</v>
      </c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195">
        <v>62.0</v>
      </c>
      <c r="BN129" s="196"/>
      <c r="BO129" s="153" t="str">
        <f>IF(BM129&lt;BN129,BM129,"")</f>
        <v/>
      </c>
      <c r="BP129" s="196" t="s">
        <v>195</v>
      </c>
      <c r="BQ129" s="197"/>
      <c r="BR129" s="198" t="s">
        <v>195</v>
      </c>
      <c r="BS129" s="196"/>
      <c r="BT129" s="175" t="str">
        <f>IF(BR129&lt;BS129,BR129,"")</f>
        <v/>
      </c>
      <c r="BU129" s="196" t="s">
        <v>195</v>
      </c>
      <c r="BV129" s="196"/>
      <c r="BW129" s="199">
        <v>62.0</v>
      </c>
      <c r="BX129" s="74" t="s">
        <v>194</v>
      </c>
      <c r="BY129" s="160">
        <f t="array" ref="BY129">IF(BW129&lt;BX129,BW129,"")</f>
        <v>62</v>
      </c>
      <c r="BZ129" s="160">
        <f t="shared" si="17"/>
        <v>62</v>
      </c>
      <c r="CA129" s="74"/>
      <c r="CB129" s="74" t="str">
        <f t="shared" si="18"/>
        <v>св</v>
      </c>
      <c r="CC129" s="200"/>
      <c r="CD129" s="243"/>
      <c r="CE129" s="200">
        <v>62.0</v>
      </c>
      <c r="CF129" s="25" t="s">
        <v>194</v>
      </c>
      <c r="CG129" s="153">
        <f t="array" ref="CG129">IF(CE129&lt;CF129,CE129,"")</f>
        <v>62</v>
      </c>
      <c r="CH129" s="74">
        <v>62.0</v>
      </c>
      <c r="CI129" s="49"/>
      <c r="CJ129" s="93">
        <v>62.0</v>
      </c>
      <c r="CK129" s="233" t="s">
        <v>194</v>
      </c>
      <c r="CL129" s="153">
        <f t="array" ref="CL129">IF(CJ129&lt;CK129,CJ129,"")</f>
        <v>62</v>
      </c>
      <c r="CM129" s="49">
        <v>62.0</v>
      </c>
      <c r="CN129" s="49"/>
      <c r="CO129" s="74">
        <v>62.0</v>
      </c>
      <c r="CP129" s="200" t="s">
        <v>194</v>
      </c>
      <c r="CQ129" s="153">
        <f t="array" ref="CQ129">IF(CO129&lt;CP129,CO129,"")</f>
        <v>62</v>
      </c>
      <c r="CR129" s="93">
        <v>62.0</v>
      </c>
      <c r="CS129" s="49"/>
      <c r="CT129" s="200">
        <v>62.0</v>
      </c>
      <c r="CU129" s="74" t="s">
        <v>194</v>
      </c>
      <c r="CV129" s="153">
        <f t="array" ref="CV129">IF(CT129&lt;CU129,CT129,"")</f>
        <v>62</v>
      </c>
      <c r="CW129" s="49">
        <v>62.0</v>
      </c>
      <c r="CX129" s="49"/>
      <c r="CY129" s="49">
        <v>62.0</v>
      </c>
      <c r="CZ129" s="49" t="s">
        <v>194</v>
      </c>
      <c r="DA129" s="153">
        <f t="array" ref="DA129">IF(CY129&lt;CZ129,CY129,"")</f>
        <v>62</v>
      </c>
      <c r="DB129" s="49">
        <v>62.0</v>
      </c>
      <c r="DC129" s="49"/>
      <c r="DD129" s="49">
        <v>62.0</v>
      </c>
      <c r="DE129" s="49"/>
      <c r="DF129" s="49"/>
      <c r="DG129" s="49"/>
      <c r="DH129" s="49"/>
    </row>
    <row r="130" ht="13.5" hidden="1" customHeight="1">
      <c r="A130" s="264"/>
      <c r="B130" s="165"/>
      <c r="C130" s="165"/>
      <c r="D130" s="165"/>
      <c r="E130" s="165"/>
      <c r="F130" s="166"/>
      <c r="G130" s="167"/>
      <c r="H130" s="168"/>
      <c r="I130" s="167"/>
      <c r="J130" s="168"/>
      <c r="K130" s="167"/>
      <c r="L130" s="168"/>
      <c r="M130" s="167"/>
      <c r="N130" s="168"/>
      <c r="O130" s="167"/>
      <c r="P130" s="168"/>
      <c r="Q130" s="167"/>
      <c r="R130" s="168"/>
      <c r="S130" s="167"/>
      <c r="T130" s="168"/>
      <c r="U130" s="169"/>
      <c r="V130" s="168"/>
      <c r="W130" s="169"/>
      <c r="X130" s="168"/>
      <c r="Y130" s="167"/>
      <c r="Z130" s="168"/>
      <c r="AA130" s="167"/>
      <c r="AB130" s="166"/>
      <c r="AC130" s="165"/>
      <c r="AD130" s="168"/>
      <c r="AE130" s="170"/>
      <c r="AF130" s="171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257"/>
      <c r="BN130" s="107"/>
      <c r="BO130" s="175" t="str">
        <f>IF(BO129="","",BN129)</f>
        <v/>
      </c>
      <c r="BP130" s="258" t="s">
        <v>195</v>
      </c>
      <c r="BQ130" s="259"/>
      <c r="BT130" s="175" t="str">
        <f>IF(BT129="","",BS129)</f>
        <v/>
      </c>
      <c r="BU130" s="175" t="s">
        <v>195</v>
      </c>
      <c r="BV130" s="196"/>
      <c r="BW130" s="257"/>
      <c r="BX130" s="107"/>
      <c r="BY130" s="160" t="str">
        <f>IF(BY129="","",BX129)</f>
        <v> </v>
      </c>
      <c r="BZ130" s="260" t="str">
        <f t="shared" si="17"/>
        <v> </v>
      </c>
      <c r="CA130" s="261"/>
      <c r="CB130" s="262" t="str">
        <f t="shared" si="18"/>
        <v>св</v>
      </c>
      <c r="CC130" s="261"/>
      <c r="CD130" s="263"/>
      <c r="CG130" s="180" t="str">
        <f>IF(CG129="","",CF129)</f>
        <v> </v>
      </c>
      <c r="CH130" s="200" t="s">
        <v>194</v>
      </c>
      <c r="CI130" s="49"/>
      <c r="CJ130" s="49" t="s">
        <v>195</v>
      </c>
      <c r="CK130" s="235"/>
      <c r="CL130" s="180" t="str">
        <f>IF(CL129="","",CK129)</f>
        <v> </v>
      </c>
      <c r="CM130" s="49" t="s">
        <v>194</v>
      </c>
      <c r="CN130" s="49"/>
      <c r="CQ130" s="180" t="str">
        <f>IF(CQ129="","",CP129)</f>
        <v> </v>
      </c>
      <c r="CR130" s="49" t="s">
        <v>194</v>
      </c>
      <c r="CS130" s="49"/>
      <c r="CV130" s="180" t="str">
        <f>IF(CV129="","",CU129)</f>
        <v> </v>
      </c>
      <c r="CW130" s="49" t="s">
        <v>194</v>
      </c>
      <c r="CX130" s="49"/>
      <c r="CY130" s="49" t="s">
        <v>195</v>
      </c>
      <c r="CZ130" s="49"/>
      <c r="DA130" s="180" t="str">
        <f>IF(DA129="","",CZ129)</f>
        <v> </v>
      </c>
      <c r="DB130" s="49" t="s">
        <v>194</v>
      </c>
      <c r="DC130" s="49"/>
      <c r="DD130" s="49" t="s">
        <v>195</v>
      </c>
      <c r="DE130" s="49"/>
      <c r="DF130" s="49"/>
      <c r="DG130" s="49"/>
      <c r="DH130" s="49"/>
    </row>
    <row r="131" ht="13.5" hidden="1" customHeight="1">
      <c r="A131" s="264"/>
      <c r="B131" s="126">
        <v>63.0</v>
      </c>
      <c r="C131" s="188" t="str">
        <f>(VLOOKUP($B131,'Пр.взв'!$D$6:$J$63,2,0))</f>
        <v>#N/A</v>
      </c>
      <c r="D131" s="189" t="str">
        <f>(VLOOKUP($B131,'Пр.взв'!$D$6:$J$63,5,0))</f>
        <v>#N/A</v>
      </c>
      <c r="E131" s="190" t="str">
        <f>(VLOOKUP($B131,'Пр.взв'!$D$6:$M$63,8,0))</f>
        <v>#N/A</v>
      </c>
      <c r="F131" s="130"/>
      <c r="G131" s="134"/>
      <c r="H131" s="132"/>
      <c r="I131" s="134"/>
      <c r="J131" s="133" t="str">
        <f>IF(H131="Х","Х",IF($AC131&lt;6," ","Х"))</f>
        <v> </v>
      </c>
      <c r="K131" s="134"/>
      <c r="L131" s="133" t="str">
        <f>IF(J131="Х","Х",IF(K131&lt;3," ",IF($AC131&lt;6," ","Х")))</f>
        <v> </v>
      </c>
      <c r="M131" s="134"/>
      <c r="N131" s="133" t="str">
        <f>IF(L131="Х","Х",IF(M131&lt;3," ",IF($AC131&lt;6," ","Х")))</f>
        <v> </v>
      </c>
      <c r="O131" s="134"/>
      <c r="P131" s="133" t="str">
        <f>IF(N131="Х","Х",IF(O131&lt;3," ",IF($AC131&lt;6," ","Х")))</f>
        <v> </v>
      </c>
      <c r="Q131" s="134"/>
      <c r="R131" s="133" t="str">
        <f>IF(P131="Х","Х",IF(Q131&lt;3," ",IF($AC131&lt;6," ","Х")))</f>
        <v> </v>
      </c>
      <c r="S131" s="134"/>
      <c r="T131" s="133" t="str">
        <f>IF(R131="Х","Х",IF(S131&lt;3," ",IF($AC131&lt;6," ","Х")))</f>
        <v> </v>
      </c>
      <c r="U131" s="135"/>
      <c r="V131" s="133" t="str">
        <f>IF(T131="Х","Х",IF(U131&lt;3," ",IF($AC131&lt;6," ","Х")))</f>
        <v> </v>
      </c>
      <c r="W131" s="135"/>
      <c r="X131" s="133" t="str">
        <f>IF(V131="А1",$AZ$7,IF(V131="Б2",$AZ$6,IF(V131="Б1",$BA$7,IF(V131="А2",$BA$6,IF(V131="Х","Х",IF(V131&lt;6," "," "))))))</f>
        <v> </v>
      </c>
      <c r="Y131" s="136"/>
      <c r="Z131" s="133" t="str">
        <f>IF(V131="Х","Х",IF(ISBLANK(Y131),"",IF(Y131&gt;2.5," ",IF(B131=BB$6,BB$7,BB$6))))</f>
        <v/>
      </c>
      <c r="AA131" s="136"/>
      <c r="AB131" s="240" t="str">
        <f>IF(H131="Х",F$5,IF(J131="Х",H$5,IF(L131="Х",J$5,IF(N131="Х",L$5,IF(P131="Х",N$5,IF(R131="Х",P$5,IF(T131="Х",R$5,IF(X131="Х",T$5,""))))))))</f>
        <v/>
      </c>
      <c r="AC131" s="138">
        <f>SUM(G131+I131+K131+M131+O131+Q131+S131+U131+Y131+AA131)</f>
        <v>0</v>
      </c>
      <c r="AD131" s="241" t="str">
        <f>AF131</f>
        <v>25-71</v>
      </c>
      <c r="AE131" s="140" t="str">
        <f>AD131</f>
        <v>25-71</v>
      </c>
      <c r="AF131" s="141" t="str">
        <f>COUNTIF(AG$6:AG$148,"&gt;"&amp;AG$6:AG$148)+1&amp;REPT("-"&amp;COUNTIF(AG$6:AG$148,"&gt;="&amp;AG$6:AG$148),COUNTIF(AG$6:AG$148,AG131)&gt;1)</f>
        <v>25-71</v>
      </c>
      <c r="AG131" s="142">
        <f>(AR131*100)+(AP131*10)-AC131</f>
        <v>80</v>
      </c>
      <c r="AH131" s="143" t="str">
        <f>IF(OR(F131="Х",F131="св")," ",IF(AND(G131&gt;=0,G131&lt;3),"1"," "))</f>
        <v>1</v>
      </c>
      <c r="AI131" s="90" t="str">
        <f>IF(OR(H131="Х",H131="св")," ",IF(AND(I131&gt;=0,I131&lt;3),"1"," "))</f>
        <v>1</v>
      </c>
      <c r="AJ131" s="90" t="str">
        <f>IF(OR(J131="Х",J131="св")," ",IF(AND(K131&gt;=0,K131&lt;3),"1"," "))</f>
        <v>1</v>
      </c>
      <c r="AK131" s="90" t="str">
        <f>IF(OR(L131="Х",L131="св")," ",IF(AND(M131&gt;=0,M131&lt;3),"1"," "))</f>
        <v>1</v>
      </c>
      <c r="AL131" s="90" t="str">
        <f>IF(OR(N131="Х",N131="св")," ",IF(AND(O131&gt;=0,O131&lt;3),"1"," "))</f>
        <v>1</v>
      </c>
      <c r="AM131" s="90" t="str">
        <f>IF(OR(P131="Х",P131="св")," ",IF(AND(Q131&gt;=0,Q131&lt;3),"1"," "))</f>
        <v>1</v>
      </c>
      <c r="AN131" s="90" t="str">
        <f>IF(OR(R131="Х",R131="св")," ",IF(AND(S131&gt;=0,S131&lt;3),"1"," "))</f>
        <v>1</v>
      </c>
      <c r="AO131" s="90" t="str">
        <f>IF(OR(T131="Х",T131="св")," ",IF(AND(U131&gt;=0,U131&lt;3),"1"," "))</f>
        <v>1</v>
      </c>
      <c r="AP131" s="90">
        <f>COUNTIF(AH131:AO132,1)</f>
        <v>8</v>
      </c>
      <c r="AQ131" s="90">
        <f>AG131-AC131</f>
        <v>80</v>
      </c>
      <c r="AR131" s="144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0" t="str">
        <f>COUNTIF(AG$6:AG$134,"&gt;"&amp;AG$6:AG$134)+1&amp;REPT("-"&amp;COUNTIF(AG$6:AG$134,"&gt;="&amp;AG$6:AG$134),COUNTIF(AG$6:AG$134,AG131)&gt;1)</f>
        <v>25-64</v>
      </c>
      <c r="AT131" s="143" t="str">
        <f t="shared" ref="AT131:AW131" si="68">COUNTIF(AU$6:AU$134,"&gt;"&amp;AU$6:AU$134)+1&amp;REPT("-"&amp;COUNTIF(AU$6:AU$134,"&gt;="&amp;AU$6:AU$134),COUNTIF(AU$6:AU$134,AU131)&gt;1)</f>
        <v>1-64</v>
      </c>
      <c r="AU131" s="143" t="str">
        <f t="shared" si="68"/>
        <v>1-0</v>
      </c>
      <c r="AV131" s="143" t="str">
        <f t="shared" si="68"/>
        <v>1</v>
      </c>
      <c r="AW131" s="143" t="str">
        <f t="shared" si="68"/>
        <v>2</v>
      </c>
      <c r="AX131" s="145">
        <f>IF(X131="Х","Х",IF(Y131&lt;3,B131,"Х"))</f>
        <v>63</v>
      </c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195">
        <v>63.0</v>
      </c>
      <c r="BN131" s="196"/>
      <c r="BO131" s="153" t="str">
        <f>IF(BM131&lt;BN131,BM131,"")</f>
        <v/>
      </c>
      <c r="BP131" s="196" t="s">
        <v>195</v>
      </c>
      <c r="BQ131" s="197"/>
      <c r="BR131" s="198" t="s">
        <v>195</v>
      </c>
      <c r="BS131" s="196"/>
      <c r="BT131" s="175" t="str">
        <f>IF(BR131&lt;BS131,BR131,"")</f>
        <v/>
      </c>
      <c r="BU131" s="196" t="s">
        <v>195</v>
      </c>
      <c r="BV131" s="196"/>
      <c r="BW131" s="199">
        <v>63.0</v>
      </c>
      <c r="BX131" s="74" t="s">
        <v>194</v>
      </c>
      <c r="BY131" s="160">
        <f t="array" ref="BY131">IF(BW131&lt;BX131,BW131,"")</f>
        <v>63</v>
      </c>
      <c r="BZ131" s="160">
        <f t="shared" si="17"/>
        <v>63</v>
      </c>
      <c r="CA131" s="74"/>
      <c r="CB131" s="74" t="str">
        <f t="shared" si="18"/>
        <v>св</v>
      </c>
      <c r="CC131" s="200"/>
      <c r="CD131" s="243"/>
      <c r="CE131" s="200">
        <v>63.0</v>
      </c>
      <c r="CF131" s="25" t="s">
        <v>194</v>
      </c>
      <c r="CG131" s="153">
        <f t="array" ref="CG131">IF(CE131&lt;CF131,CE131,"")</f>
        <v>63</v>
      </c>
      <c r="CH131" s="74">
        <v>63.0</v>
      </c>
      <c r="CI131" s="49"/>
      <c r="CJ131" s="93">
        <v>63.0</v>
      </c>
      <c r="CK131" s="233" t="s">
        <v>194</v>
      </c>
      <c r="CL131" s="153">
        <f t="array" ref="CL131">IF(CJ131&lt;CK131,CJ131,"")</f>
        <v>63</v>
      </c>
      <c r="CM131" s="49">
        <v>63.0</v>
      </c>
      <c r="CN131" s="49"/>
      <c r="CO131" s="74">
        <v>63.0</v>
      </c>
      <c r="CP131" s="200" t="s">
        <v>194</v>
      </c>
      <c r="CQ131" s="153">
        <f t="array" ref="CQ131">IF(CO131&lt;CP131,CO131,"")</f>
        <v>63</v>
      </c>
      <c r="CR131" s="93">
        <v>63.0</v>
      </c>
      <c r="CS131" s="49"/>
      <c r="CT131" s="200">
        <v>63.0</v>
      </c>
      <c r="CU131" s="74" t="s">
        <v>194</v>
      </c>
      <c r="CV131" s="153">
        <f t="array" ref="CV131">IF(CT131&lt;CU131,CT131,"")</f>
        <v>63</v>
      </c>
      <c r="CW131" s="49">
        <v>63.0</v>
      </c>
      <c r="CX131" s="49"/>
      <c r="CY131" s="49">
        <v>63.0</v>
      </c>
      <c r="CZ131" s="49" t="s">
        <v>194</v>
      </c>
      <c r="DA131" s="153">
        <f t="array" ref="DA131">IF(CY131&lt;CZ131,CY131,"")</f>
        <v>63</v>
      </c>
      <c r="DB131" s="49">
        <v>63.0</v>
      </c>
      <c r="DC131" s="49"/>
      <c r="DD131" s="49">
        <v>63.0</v>
      </c>
      <c r="DE131" s="49"/>
      <c r="DF131" s="49"/>
      <c r="DG131" s="49"/>
      <c r="DH131" s="49"/>
    </row>
    <row r="132" ht="13.5" hidden="1" customHeight="1">
      <c r="A132" s="264"/>
      <c r="B132" s="165"/>
      <c r="C132" s="165"/>
      <c r="D132" s="165"/>
      <c r="E132" s="165"/>
      <c r="F132" s="166"/>
      <c r="G132" s="167"/>
      <c r="H132" s="168"/>
      <c r="I132" s="167"/>
      <c r="J132" s="168"/>
      <c r="K132" s="167"/>
      <c r="L132" s="168"/>
      <c r="M132" s="167"/>
      <c r="N132" s="168"/>
      <c r="O132" s="167"/>
      <c r="P132" s="168"/>
      <c r="Q132" s="167"/>
      <c r="R132" s="168"/>
      <c r="S132" s="167"/>
      <c r="T132" s="168"/>
      <c r="U132" s="169"/>
      <c r="V132" s="168"/>
      <c r="W132" s="169"/>
      <c r="X132" s="168"/>
      <c r="Y132" s="167"/>
      <c r="Z132" s="168"/>
      <c r="AA132" s="167"/>
      <c r="AB132" s="166"/>
      <c r="AC132" s="165"/>
      <c r="AD132" s="168"/>
      <c r="AE132" s="170"/>
      <c r="AF132" s="171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257"/>
      <c r="BN132" s="107"/>
      <c r="BO132" s="175" t="str">
        <f>IF(BO131="","",BN131)</f>
        <v/>
      </c>
      <c r="BP132" s="258" t="s">
        <v>195</v>
      </c>
      <c r="BQ132" s="259"/>
      <c r="BT132" s="175" t="str">
        <f>IF(BT131="","",BS131)</f>
        <v/>
      </c>
      <c r="BU132" s="175" t="s">
        <v>195</v>
      </c>
      <c r="BV132" s="196"/>
      <c r="BW132" s="257"/>
      <c r="BX132" s="107"/>
      <c r="BY132" s="160" t="str">
        <f>IF(BY131="","",BX131)</f>
        <v> </v>
      </c>
      <c r="BZ132" s="260" t="str">
        <f t="shared" si="17"/>
        <v> </v>
      </c>
      <c r="CA132" s="261"/>
      <c r="CB132" s="262" t="str">
        <f t="shared" si="18"/>
        <v>св</v>
      </c>
      <c r="CC132" s="261"/>
      <c r="CD132" s="263"/>
      <c r="CG132" s="180" t="str">
        <f>IF(CG131="","",CF131)</f>
        <v> </v>
      </c>
      <c r="CH132" s="200" t="s">
        <v>194</v>
      </c>
      <c r="CI132" s="49"/>
      <c r="CJ132" s="49" t="s">
        <v>195</v>
      </c>
      <c r="CK132" s="235"/>
      <c r="CL132" s="180" t="str">
        <f>IF(CL131="","",CK131)</f>
        <v> </v>
      </c>
      <c r="CM132" s="49" t="s">
        <v>194</v>
      </c>
      <c r="CN132" s="49"/>
      <c r="CQ132" s="180" t="str">
        <f>IF(CQ131="","",CP131)</f>
        <v> </v>
      </c>
      <c r="CR132" s="49" t="s">
        <v>194</v>
      </c>
      <c r="CS132" s="49"/>
      <c r="CV132" s="180" t="str">
        <f>IF(CV131="","",CU131)</f>
        <v> </v>
      </c>
      <c r="CW132" s="49" t="s">
        <v>194</v>
      </c>
      <c r="CX132" s="49"/>
      <c r="CY132" s="49" t="s">
        <v>195</v>
      </c>
      <c r="CZ132" s="49"/>
      <c r="DA132" s="180" t="str">
        <f>IF(DA131="","",CZ131)</f>
        <v> </v>
      </c>
      <c r="DB132" s="49" t="s">
        <v>194</v>
      </c>
      <c r="DC132" s="49"/>
      <c r="DD132" s="49" t="s">
        <v>195</v>
      </c>
      <c r="DE132" s="49"/>
      <c r="DF132" s="49"/>
      <c r="DG132" s="49"/>
      <c r="DH132" s="49"/>
    </row>
    <row r="133" ht="13.5" hidden="1" customHeight="1">
      <c r="A133" s="264"/>
      <c r="B133" s="126">
        <v>64.0</v>
      </c>
      <c r="C133" s="188" t="str">
        <f>(VLOOKUP($B133,'Пр.взв'!$D$6:$J$63,2,0))</f>
        <v>#N/A</v>
      </c>
      <c r="D133" s="189" t="str">
        <f>(VLOOKUP($B133,'Пр.взв'!$D$6:$J$63,5,0))</f>
        <v>#N/A</v>
      </c>
      <c r="E133" s="190" t="str">
        <f>(VLOOKUP($B133,'Пр.взв'!$D$6:$M$63,8,0))</f>
        <v>#N/A</v>
      </c>
      <c r="F133" s="130"/>
      <c r="G133" s="134"/>
      <c r="H133" s="132"/>
      <c r="I133" s="134"/>
      <c r="J133" s="133" t="str">
        <f>IF(H133="Х","Х",IF($AC133&lt;6," ","Х"))</f>
        <v> </v>
      </c>
      <c r="K133" s="134"/>
      <c r="L133" s="133" t="str">
        <f>IF(J133="Х","Х",IF(K133&lt;3," ",IF($AC133&lt;6," ","Х")))</f>
        <v> </v>
      </c>
      <c r="M133" s="134"/>
      <c r="N133" s="133" t="str">
        <f>IF(L133="Х","Х",IF(M133&lt;3," ",IF($AC133&lt;6," ","Х")))</f>
        <v> </v>
      </c>
      <c r="O133" s="134"/>
      <c r="P133" s="133" t="str">
        <f>IF(N133="Х","Х",IF(O133&lt;3," ",IF($AC133&lt;6," ","Х")))</f>
        <v> </v>
      </c>
      <c r="Q133" s="134"/>
      <c r="R133" s="133" t="str">
        <f>IF(P133="Х","Х",IF(Q133&lt;3," ",IF($AC133&lt;6," ","Х")))</f>
        <v> </v>
      </c>
      <c r="S133" s="134"/>
      <c r="T133" s="133" t="str">
        <f>IF(R133="Х","Х",IF(S133&lt;3," ",IF($AC133&lt;6," ","Х")))</f>
        <v> </v>
      </c>
      <c r="U133" s="135"/>
      <c r="V133" s="133" t="str">
        <f>IF(T133="Х","Х",IF(U133&lt;3," ",IF($AC133&lt;6," ","Х")))</f>
        <v> </v>
      </c>
      <c r="W133" s="135"/>
      <c r="X133" s="133" t="str">
        <f>IF(V133="А1",$AZ$7,IF(V133="Б2",$AZ$6,IF(V133="Б1",$BA$7,IF(V133="А2",$BA$6,IF(V133="Х","Х",IF(V133&lt;6," "," "))))))</f>
        <v> </v>
      </c>
      <c r="Y133" s="136"/>
      <c r="Z133" s="133" t="str">
        <f>IF(V133="Х","Х",IF(ISBLANK(Y133),"",IF(Y133&gt;2.5," ",IF(B133=BB$6,BB$7,BB$6))))</f>
        <v/>
      </c>
      <c r="AA133" s="136"/>
      <c r="AB133" s="240" t="str">
        <f>IF(H133="Х",F$5,IF(J133="Х",H$5,IF(L133="Х",J$5,IF(N133="Х",L$5,IF(P133="Х",N$5,IF(R133="Х",P$5,IF(T133="Х",R$5,IF(X133="Х",T$5,""))))))))</f>
        <v/>
      </c>
      <c r="AC133" s="138">
        <f>SUM(G133+I133+K133+M133+O133+Q133+S133+U133+Y133+AA133)</f>
        <v>0</v>
      </c>
      <c r="AD133" s="241" t="str">
        <f>AF133</f>
        <v>25-71</v>
      </c>
      <c r="AE133" s="140" t="str">
        <f>AD133</f>
        <v>25-71</v>
      </c>
      <c r="AF133" s="141" t="str">
        <f>COUNTIF(AG$6:AG$148,"&gt;"&amp;AG$6:AG$148)+1&amp;REPT("-"&amp;COUNTIF(AG$6:AG$148,"&gt;="&amp;AG$6:AG$148),COUNTIF(AG$6:AG$148,AG133)&gt;1)</f>
        <v>25-71</v>
      </c>
      <c r="AG133" s="142">
        <f>(AR133*100)+(AP133*10)-AC133</f>
        <v>80</v>
      </c>
      <c r="AH133" s="143" t="str">
        <f>IF(OR(F133="Х",F133="св")," ",IF(AND(G133&gt;=0,G133&lt;3),"1"," "))</f>
        <v>1</v>
      </c>
      <c r="AI133" s="90" t="str">
        <f>IF(OR(H133="Х",H133="св")," ",IF(AND(I133&gt;=0,I133&lt;3),"1"," "))</f>
        <v>1</v>
      </c>
      <c r="AJ133" s="90" t="str">
        <f>IF(OR(J133="Х",J133="св")," ",IF(AND(K133&gt;=0,K133&lt;3),"1"," "))</f>
        <v>1</v>
      </c>
      <c r="AK133" s="90" t="str">
        <f>IF(OR(L133="Х",L133="св")," ",IF(AND(M133&gt;=0,M133&lt;3),"1"," "))</f>
        <v>1</v>
      </c>
      <c r="AL133" s="90" t="str">
        <f>IF(OR(N133="Х",N133="св")," ",IF(AND(O133&gt;=0,O133&lt;3),"1"," "))</f>
        <v>1</v>
      </c>
      <c r="AM133" s="90" t="str">
        <f>IF(OR(P133="Х",P133="св")," ",IF(AND(Q133&gt;=0,Q133&lt;3),"1"," "))</f>
        <v>1</v>
      </c>
      <c r="AN133" s="90" t="str">
        <f>IF(OR(R133="Х",R133="св")," ",IF(AND(S133&gt;=0,S133&lt;3),"1"," "))</f>
        <v>1</v>
      </c>
      <c r="AO133" s="90" t="str">
        <f>IF(OR(T133="Х",T133="св")," ",IF(AND(U133&gt;=0,U133&lt;3),"1"," "))</f>
        <v>1</v>
      </c>
      <c r="AP133" s="90">
        <f>COUNTIF(AH133:AO134,1)</f>
        <v>8</v>
      </c>
      <c r="AQ133" s="90">
        <f>AG133-AC133</f>
        <v>80</v>
      </c>
      <c r="AR133" s="144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0" t="str">
        <f>COUNTIF(AG$6:AG$134,"&gt;"&amp;AG$6:AG$134)+1&amp;REPT("-"&amp;COUNTIF(AG$6:AG$134,"&gt;="&amp;AG$6:AG$134),COUNTIF(AG$6:AG$134,AG133)&gt;1)</f>
        <v>25-64</v>
      </c>
      <c r="AT133" s="143" t="str">
        <f t="shared" ref="AT133:AW133" si="69">COUNTIF(AU$6:AU$134,"&gt;"&amp;AU$6:AU$134)+1&amp;REPT("-"&amp;COUNTIF(AU$6:AU$134,"&gt;="&amp;AU$6:AU$134),COUNTIF(AU$6:AU$134,AU133)&gt;1)</f>
        <v>1-64</v>
      </c>
      <c r="AU133" s="143" t="str">
        <f t="shared" si="69"/>
        <v>1-0</v>
      </c>
      <c r="AV133" s="143" t="str">
        <f t="shared" si="69"/>
        <v>1</v>
      </c>
      <c r="AW133" s="143" t="str">
        <f t="shared" si="69"/>
        <v>1</v>
      </c>
      <c r="AX133" s="145">
        <f>IF(X133="Х","Х",IF(Y133&lt;3,B133,"Х"))</f>
        <v>64</v>
      </c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195">
        <v>64.0</v>
      </c>
      <c r="BN133" s="196"/>
      <c r="BO133" s="153" t="str">
        <f>IF(BM133&lt;BN133,BM133,"")</f>
        <v/>
      </c>
      <c r="BP133" s="196" t="s">
        <v>195</v>
      </c>
      <c r="BQ133" s="197"/>
      <c r="BR133" s="198" t="s">
        <v>195</v>
      </c>
      <c r="BS133" s="196"/>
      <c r="BT133" s="175" t="str">
        <f>IF(BR133&lt;BS133,BR133,"")</f>
        <v/>
      </c>
      <c r="BU133" s="196" t="s">
        <v>195</v>
      </c>
      <c r="BV133" s="196"/>
      <c r="BW133" s="199">
        <v>64.0</v>
      </c>
      <c r="BX133" s="74" t="s">
        <v>194</v>
      </c>
      <c r="BY133" s="160">
        <f t="array" ref="BY133">IF(BW133&lt;BX133,BW133,"")</f>
        <v>64</v>
      </c>
      <c r="BZ133" s="160">
        <f t="shared" si="17"/>
        <v>64</v>
      </c>
      <c r="CA133" s="74"/>
      <c r="CB133" s="74" t="str">
        <f t="shared" si="18"/>
        <v>св</v>
      </c>
      <c r="CC133" s="200"/>
      <c r="CD133" s="243"/>
      <c r="CE133" s="200">
        <v>64.0</v>
      </c>
      <c r="CF133" s="25" t="s">
        <v>194</v>
      </c>
      <c r="CG133" s="153">
        <f t="array" ref="CG133">IF(CE133&lt;CF133,CE133,"")</f>
        <v>64</v>
      </c>
      <c r="CH133" s="74">
        <v>64.0</v>
      </c>
      <c r="CI133" s="49"/>
      <c r="CJ133" s="93">
        <v>64.0</v>
      </c>
      <c r="CK133" s="233" t="s">
        <v>194</v>
      </c>
      <c r="CL133" s="153">
        <f t="array" ref="CL133">IF(CJ133&lt;CK133,CJ133,"")</f>
        <v>64</v>
      </c>
      <c r="CM133" s="49">
        <v>64.0</v>
      </c>
      <c r="CN133" s="49"/>
      <c r="CO133" s="74">
        <v>64.0</v>
      </c>
      <c r="CP133" s="200" t="s">
        <v>194</v>
      </c>
      <c r="CQ133" s="153">
        <f t="array" ref="CQ133">IF(CO133&lt;CP133,CO133,"")</f>
        <v>64</v>
      </c>
      <c r="CR133" s="93">
        <v>64.0</v>
      </c>
      <c r="CS133" s="49"/>
      <c r="CT133" s="200">
        <v>64.0</v>
      </c>
      <c r="CU133" s="74" t="s">
        <v>194</v>
      </c>
      <c r="CV133" s="153">
        <f t="array" ref="CV133">IF(CT133&lt;CU133,CT133,"")</f>
        <v>64</v>
      </c>
      <c r="CW133" s="49">
        <v>64.0</v>
      </c>
      <c r="CX133" s="49"/>
      <c r="CY133" s="49">
        <v>64.0</v>
      </c>
      <c r="CZ133" s="49" t="s">
        <v>194</v>
      </c>
      <c r="DA133" s="153">
        <f t="array" ref="DA133">IF(CY133&lt;CZ133,CY133,"")</f>
        <v>64</v>
      </c>
      <c r="DB133" s="49">
        <v>64.0</v>
      </c>
      <c r="DC133" s="49"/>
      <c r="DD133" s="49">
        <v>64.0</v>
      </c>
      <c r="DE133" s="49"/>
      <c r="DF133" s="49"/>
      <c r="DG133" s="49"/>
      <c r="DH133" s="49"/>
    </row>
    <row r="134" ht="13.5" hidden="1" customHeight="1">
      <c r="A134" s="264"/>
      <c r="B134" s="165"/>
      <c r="C134" s="165"/>
      <c r="D134" s="165"/>
      <c r="E134" s="165"/>
      <c r="F134" s="166"/>
      <c r="G134" s="167"/>
      <c r="H134" s="168"/>
      <c r="I134" s="167"/>
      <c r="J134" s="168"/>
      <c r="K134" s="167"/>
      <c r="L134" s="168"/>
      <c r="M134" s="167"/>
      <c r="N134" s="168"/>
      <c r="O134" s="167"/>
      <c r="P134" s="168"/>
      <c r="Q134" s="167"/>
      <c r="R134" s="168"/>
      <c r="S134" s="167"/>
      <c r="T134" s="168"/>
      <c r="U134" s="169"/>
      <c r="V134" s="168"/>
      <c r="W134" s="169"/>
      <c r="X134" s="168"/>
      <c r="Y134" s="167"/>
      <c r="Z134" s="168"/>
      <c r="AA134" s="167"/>
      <c r="AB134" s="166"/>
      <c r="AC134" s="165"/>
      <c r="AD134" s="168"/>
      <c r="AE134" s="170"/>
      <c r="AF134" s="171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257"/>
      <c r="BN134" s="107"/>
      <c r="BO134" s="175" t="str">
        <f>IF(BO133="","",BN133)</f>
        <v/>
      </c>
      <c r="BP134" s="258" t="s">
        <v>195</v>
      </c>
      <c r="BQ134" s="259"/>
      <c r="BT134" s="175" t="str">
        <f>IF(BT133="","",BS133)</f>
        <v/>
      </c>
      <c r="BU134" s="175" t="s">
        <v>195</v>
      </c>
      <c r="BV134" s="196"/>
      <c r="BW134" s="257"/>
      <c r="BX134" s="107"/>
      <c r="BY134" s="160" t="str">
        <f>IF(BY133="","",BX133)</f>
        <v> </v>
      </c>
      <c r="BZ134" s="260" t="str">
        <f t="shared" si="17"/>
        <v> </v>
      </c>
      <c r="CA134" s="261"/>
      <c r="CB134" s="262" t="str">
        <f t="shared" si="18"/>
        <v>св</v>
      </c>
      <c r="CC134" s="261"/>
      <c r="CD134" s="263"/>
      <c r="CG134" s="180" t="str">
        <f>IF(CG133="","",CF133)</f>
        <v> </v>
      </c>
      <c r="CH134" s="200" t="s">
        <v>194</v>
      </c>
      <c r="CI134" s="49"/>
      <c r="CJ134" s="49" t="s">
        <v>195</v>
      </c>
      <c r="CK134" s="235"/>
      <c r="CL134" s="180" t="str">
        <f>IF(CL133="","",CK133)</f>
        <v> </v>
      </c>
      <c r="CM134" s="49" t="s">
        <v>194</v>
      </c>
      <c r="CN134" s="49"/>
      <c r="CQ134" s="180" t="str">
        <f>IF(CQ133="","",CP133)</f>
        <v> </v>
      </c>
      <c r="CR134" s="49" t="s">
        <v>194</v>
      </c>
      <c r="CS134" s="49"/>
      <c r="CV134" s="180" t="str">
        <f>IF(CV133="","",CU133)</f>
        <v> </v>
      </c>
      <c r="CW134" s="49" t="s">
        <v>194</v>
      </c>
      <c r="CX134" s="49"/>
      <c r="CY134" s="49" t="s">
        <v>195</v>
      </c>
      <c r="CZ134" s="49"/>
      <c r="DA134" s="180" t="str">
        <f>IF(DA133="","",CZ133)</f>
        <v> </v>
      </c>
      <c r="DB134" s="49" t="s">
        <v>194</v>
      </c>
      <c r="DC134" s="49"/>
      <c r="DD134" s="49" t="s">
        <v>195</v>
      </c>
      <c r="DE134" s="49"/>
      <c r="DF134" s="49"/>
      <c r="DG134" s="49"/>
      <c r="DH134" s="49"/>
    </row>
    <row r="135" ht="13.5" hidden="1" customHeight="1">
      <c r="A135" s="264"/>
      <c r="B135" s="126">
        <v>65.0</v>
      </c>
      <c r="C135" s="188" t="str">
        <f>(VLOOKUP($B135,'Пр.взв'!$D$6:$J$63,2,0))</f>
        <v>#N/A</v>
      </c>
      <c r="D135" s="189" t="str">
        <f>(VLOOKUP($B135,'Пр.взв'!$D$6:$J$63,5,0))</f>
        <v>#N/A</v>
      </c>
      <c r="E135" s="190" t="str">
        <f>(VLOOKUP($B135,'Пр.взв'!$D$6:$M$63,8,0))</f>
        <v>#N/A</v>
      </c>
      <c r="F135" s="130"/>
      <c r="G135" s="134"/>
      <c r="H135" s="132"/>
      <c r="I135" s="136"/>
      <c r="J135" s="133" t="str">
        <f>IF(H135="Х","Х",IF($AC135&lt;6," ","Х"))</f>
        <v> </v>
      </c>
      <c r="K135" s="134"/>
      <c r="L135" s="133" t="str">
        <f>IF(J135="Х","Х",IF(K135&lt;3," ",IF($AC135&lt;6," ","Х")))</f>
        <v> </v>
      </c>
      <c r="M135" s="134"/>
      <c r="N135" s="133" t="str">
        <f>IF(L135="Х","Х",IF(M135&lt;3," ",IF($AC135&lt;6," ","Х")))</f>
        <v> </v>
      </c>
      <c r="O135" s="134"/>
      <c r="P135" s="133" t="str">
        <f>IF(N135="Х","Х",IF(O135&lt;3," ",IF($AC135&lt;6," ","Х")))</f>
        <v> </v>
      </c>
      <c r="Q135" s="134"/>
      <c r="R135" s="133" t="str">
        <f>IF(P135="Х","Х",IF(Q135&lt;3," ",IF($AC135&lt;6," ","Х")))</f>
        <v> </v>
      </c>
      <c r="S135" s="134"/>
      <c r="T135" s="133" t="str">
        <f>IF(R135="Х","Х",IF(S135&lt;3," ",IF($AC135&lt;6," ","Х")))</f>
        <v> </v>
      </c>
      <c r="U135" s="135"/>
      <c r="V135" s="133" t="str">
        <f>IF(T135="Х","Х",IF(U135&lt;3," ",IF($AC135&lt;6," ","Х")))</f>
        <v> </v>
      </c>
      <c r="W135" s="135"/>
      <c r="X135" s="133" t="str">
        <f>IF(V135="А1",$AZ$7,IF(V135="Б2",$AZ$6,IF(V135="Б1",$BA$7,IF(V135="А2",$BA$6,IF(V135="Х","Х",IF(V135&lt;6," "," "))))))</f>
        <v> </v>
      </c>
      <c r="Y135" s="136"/>
      <c r="Z135" s="133" t="str">
        <f>IF(V135="Х","Х",IF(ISBLANK(Y135),"",IF(Y135&gt;2.5," ",IF(B135=BB$6,BB$7,BB$6))))</f>
        <v/>
      </c>
      <c r="AA135" s="136"/>
      <c r="AB135" s="240" t="str">
        <f>IF(H135="Х",F$5,IF(J135="Х",H$5,IF(L135="Х",J$5,IF(N135="Х",L$5,IF(P135="Х",N$5,IF(R135="Х",P$5,IF(T135="Х",R$5,IF(X135="Х",T$5,""))))))))</f>
        <v/>
      </c>
      <c r="AC135" s="138">
        <f>SUM(G135+I135+K135+M135+O135+Q135+S135+U135+Y135+AA135)</f>
        <v>0</v>
      </c>
      <c r="AD135" s="241" t="str">
        <f>AF135</f>
        <v>25-71</v>
      </c>
      <c r="AE135" s="140" t="str">
        <f>AD135</f>
        <v>25-71</v>
      </c>
      <c r="AF135" s="141" t="str">
        <f>COUNTIF(AG$6:AG$148,"&gt;"&amp;AG$6:AG$148)+1&amp;REPT("-"&amp;COUNTIF(AG$6:AG$148,"&gt;="&amp;AG$6:AG$148),COUNTIF(AG$6:AG$148,AG135)&gt;1)</f>
        <v>25-71</v>
      </c>
      <c r="AG135" s="142">
        <f>(AR135*100)+(AP135*10)-AC135</f>
        <v>80</v>
      </c>
      <c r="AH135" s="143" t="str">
        <f>IF(OR(F135="Х",F135="св")," ",IF(AND(G135&gt;=0,G135&lt;3),"1"," "))</f>
        <v>1</v>
      </c>
      <c r="AI135" s="90" t="str">
        <f>IF(OR(H135="Х",H135="св")," ",IF(AND(I135&gt;=0,I135&lt;3),"1"," "))</f>
        <v>1</v>
      </c>
      <c r="AJ135" s="90" t="str">
        <f>IF(OR(J135="Х",J135="св")," ",IF(AND(K135&gt;=0,K135&lt;3),"1"," "))</f>
        <v>1</v>
      </c>
      <c r="AK135" s="90" t="str">
        <f>IF(OR(L135="Х",L135="св")," ",IF(AND(M135&gt;=0,M135&lt;3),"1"," "))</f>
        <v>1</v>
      </c>
      <c r="AL135" s="90" t="str">
        <f>IF(OR(N135="Х",N135="св")," ",IF(AND(O135&gt;=0,O135&lt;3),"1"," "))</f>
        <v>1</v>
      </c>
      <c r="AM135" s="90" t="str">
        <f>IF(OR(P135="Х",P135="св")," ",IF(AND(Q135&gt;=0,Q135&lt;3),"1"," "))</f>
        <v>1</v>
      </c>
      <c r="AN135" s="90" t="str">
        <f>IF(OR(R135="Х",R135="св")," ",IF(AND(S135&gt;=0,S135&lt;3),"1"," "))</f>
        <v>1</v>
      </c>
      <c r="AO135" s="90" t="str">
        <f>IF(OR(T135="Х",T135="св")," ",IF(AND(U135&gt;=0,U135&lt;3),"1"," "))</f>
        <v>1</v>
      </c>
      <c r="AP135" s="90">
        <f>COUNTIF(AH135:AO136,1)</f>
        <v>8</v>
      </c>
      <c r="AQ135" s="90">
        <f>AG135-AC135</f>
        <v>80</v>
      </c>
      <c r="AR135" s="144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0" t="str">
        <f>COUNTIF(AG$6:AG$134,"&gt;"&amp;AG$6:AG$134)+1&amp;REPT("-"&amp;COUNTIF(AG$6:AG$134,"&gt;="&amp;AG$6:AG$134),COUNTIF(AG$6:AG$134,AG135)&gt;1)</f>
        <v>1-0</v>
      </c>
      <c r="AT135" s="143" t="str">
        <f t="shared" ref="AT135:AW135" si="70">COUNTIF(AU$6:AU$134,"&gt;"&amp;AU$6:AU$134)+1&amp;REPT("-"&amp;COUNTIF(AU$6:AU$134,"&gt;="&amp;AU$6:AU$134),COUNTIF(AU$6:AU$134,AU135)&gt;1)</f>
        <v>1-0</v>
      </c>
      <c r="AU135" s="143" t="str">
        <f t="shared" si="70"/>
        <v>1-0</v>
      </c>
      <c r="AV135" s="143" t="str">
        <f t="shared" si="70"/>
        <v>1</v>
      </c>
      <c r="AW135" s="143" t="str">
        <f t="shared" si="70"/>
        <v>1</v>
      </c>
      <c r="AX135" s="145">
        <f>IF(X135="Х","Х",IF(Y135&lt;3,B135,"Х"))</f>
        <v>65</v>
      </c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50">
        <v>65.0</v>
      </c>
      <c r="BN135" s="49"/>
      <c r="BO135" s="153" t="str">
        <f>IF(BM135&lt;BN135,BM135,"")</f>
        <v/>
      </c>
      <c r="BP135" s="49" t="s">
        <v>195</v>
      </c>
      <c r="BQ135" s="49"/>
      <c r="BR135" s="50" t="s">
        <v>195</v>
      </c>
      <c r="BS135" s="49"/>
      <c r="BT135" s="175" t="str">
        <f>IF(BR135&lt;BS135,BR135,"")</f>
        <v/>
      </c>
      <c r="BU135" s="49" t="s">
        <v>195</v>
      </c>
      <c r="BV135" s="49"/>
      <c r="BW135" s="49">
        <v>65.0</v>
      </c>
      <c r="BX135" s="49" t="s">
        <v>194</v>
      </c>
      <c r="BY135" s="160">
        <f t="array" ref="BY135">IF(BW135&lt;BX135,BW135,"")</f>
        <v>65</v>
      </c>
      <c r="BZ135" s="160">
        <f t="shared" si="17"/>
        <v>65</v>
      </c>
      <c r="CA135" s="49"/>
      <c r="CB135" s="74" t="str">
        <f t="shared" si="18"/>
        <v>св</v>
      </c>
      <c r="CC135" s="49"/>
      <c r="CD135" s="49"/>
      <c r="CE135" s="49">
        <v>65.0</v>
      </c>
      <c r="CF135" s="49" t="s">
        <v>194</v>
      </c>
      <c r="CG135" s="153">
        <f t="array" ref="CG135">IF(CE135&lt;CF135,CE135,"")</f>
        <v>65</v>
      </c>
      <c r="CH135" s="49">
        <v>65.0</v>
      </c>
      <c r="CI135" s="49"/>
      <c r="CJ135" s="49">
        <v>65.0</v>
      </c>
      <c r="CK135" s="49" t="s">
        <v>194</v>
      </c>
      <c r="CL135" s="153">
        <f t="array" ref="CL135">IF(CJ135&lt;CK135,CJ135,"")</f>
        <v>65</v>
      </c>
      <c r="CM135" s="49">
        <v>65.0</v>
      </c>
      <c r="CN135" s="49"/>
      <c r="CO135" s="49">
        <v>65.0</v>
      </c>
      <c r="CP135" s="49" t="s">
        <v>194</v>
      </c>
      <c r="CQ135" s="153">
        <f t="array" ref="CQ135">IF(CO135&lt;CP135,CO135,"")</f>
        <v>65</v>
      </c>
      <c r="CR135" s="49">
        <v>65.0</v>
      </c>
      <c r="CS135" s="49"/>
      <c r="CT135" s="49">
        <v>65.0</v>
      </c>
      <c r="CU135" s="49" t="s">
        <v>194</v>
      </c>
      <c r="CV135" s="153">
        <f t="array" ref="CV135">IF(CT135&lt;CU135,CT135,"")</f>
        <v>65</v>
      </c>
      <c r="CW135" s="49">
        <v>65.0</v>
      </c>
      <c r="CX135" s="49"/>
      <c r="CY135" s="49">
        <v>65.0</v>
      </c>
      <c r="CZ135" s="49" t="s">
        <v>194</v>
      </c>
      <c r="DA135" s="153">
        <f t="array" ref="DA135">IF(CY135&lt;CZ135,CY135,"")</f>
        <v>65</v>
      </c>
      <c r="DB135" s="49">
        <v>65.0</v>
      </c>
      <c r="DC135" s="49"/>
      <c r="DD135" s="49">
        <v>65.0</v>
      </c>
      <c r="DE135" s="49"/>
      <c r="DF135" s="49"/>
      <c r="DG135" s="49"/>
      <c r="DH135" s="49"/>
    </row>
    <row r="136" ht="13.5" hidden="1" customHeight="1">
      <c r="A136" s="264"/>
      <c r="B136" s="165"/>
      <c r="C136" s="165"/>
      <c r="D136" s="165"/>
      <c r="E136" s="165"/>
      <c r="F136" s="166"/>
      <c r="G136" s="167"/>
      <c r="H136" s="168"/>
      <c r="I136" s="167"/>
      <c r="J136" s="168"/>
      <c r="K136" s="167"/>
      <c r="L136" s="168"/>
      <c r="M136" s="167"/>
      <c r="N136" s="168"/>
      <c r="O136" s="167"/>
      <c r="P136" s="168"/>
      <c r="Q136" s="167"/>
      <c r="R136" s="168"/>
      <c r="S136" s="167"/>
      <c r="T136" s="168"/>
      <c r="U136" s="169"/>
      <c r="V136" s="168"/>
      <c r="W136" s="169"/>
      <c r="X136" s="168"/>
      <c r="Y136" s="167"/>
      <c r="Z136" s="168"/>
      <c r="AA136" s="167"/>
      <c r="AB136" s="166"/>
      <c r="AC136" s="165"/>
      <c r="AD136" s="168"/>
      <c r="AE136" s="170"/>
      <c r="AF136" s="171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50" t="s">
        <v>195</v>
      </c>
      <c r="BN136" s="49"/>
      <c r="BO136" s="175" t="str">
        <f>IF(BO135="","",BN135)</f>
        <v/>
      </c>
      <c r="BP136" s="49" t="s">
        <v>195</v>
      </c>
      <c r="BQ136" s="49"/>
      <c r="BR136" s="50" t="s">
        <v>195</v>
      </c>
      <c r="BS136" s="49"/>
      <c r="BT136" s="175" t="str">
        <f>IF(BT135="","",BS135)</f>
        <v/>
      </c>
      <c r="BU136" s="49" t="s">
        <v>195</v>
      </c>
      <c r="BV136" s="49"/>
      <c r="BW136" s="49" t="s">
        <v>195</v>
      </c>
      <c r="BX136" s="49"/>
      <c r="BY136" s="160" t="str">
        <f>IF(BY135="","",BX135)</f>
        <v> </v>
      </c>
      <c r="BZ136" s="260" t="str">
        <f t="shared" si="17"/>
        <v> </v>
      </c>
      <c r="CA136" s="49"/>
      <c r="CB136" s="262" t="str">
        <f t="shared" si="18"/>
        <v>св</v>
      </c>
      <c r="CC136" s="49"/>
      <c r="CD136" s="49"/>
      <c r="CE136" s="49" t="s">
        <v>195</v>
      </c>
      <c r="CF136" s="49"/>
      <c r="CG136" s="180" t="str">
        <f>IF(CG135="","",CF135)</f>
        <v> </v>
      </c>
      <c r="CH136" s="49" t="s">
        <v>194</v>
      </c>
      <c r="CI136" s="49"/>
      <c r="CJ136" s="49" t="s">
        <v>195</v>
      </c>
      <c r="CK136" s="49"/>
      <c r="CL136" s="180" t="str">
        <f>IF(CL135="","",CK135)</f>
        <v> </v>
      </c>
      <c r="CM136" s="49" t="s">
        <v>194</v>
      </c>
      <c r="CN136" s="49"/>
      <c r="CO136" s="49" t="s">
        <v>195</v>
      </c>
      <c r="CP136" s="49"/>
      <c r="CQ136" s="180" t="str">
        <f>IF(CQ135="","",CP135)</f>
        <v> </v>
      </c>
      <c r="CR136" s="49" t="s">
        <v>194</v>
      </c>
      <c r="CS136" s="49"/>
      <c r="CT136" s="49" t="s">
        <v>195</v>
      </c>
      <c r="CU136" s="49"/>
      <c r="CV136" s="180" t="str">
        <f>IF(CV135="","",CU135)</f>
        <v> </v>
      </c>
      <c r="CW136" s="49" t="s">
        <v>194</v>
      </c>
      <c r="CX136" s="49"/>
      <c r="CY136" s="49" t="s">
        <v>195</v>
      </c>
      <c r="CZ136" s="49"/>
      <c r="DA136" s="180" t="str">
        <f>IF(DA135="","",CZ135)</f>
        <v> </v>
      </c>
      <c r="DB136" s="49" t="s">
        <v>194</v>
      </c>
      <c r="DC136" s="49"/>
      <c r="DD136" s="49" t="s">
        <v>195</v>
      </c>
      <c r="DE136" s="49"/>
      <c r="DF136" s="49"/>
      <c r="DG136" s="49"/>
      <c r="DH136" s="49"/>
    </row>
    <row r="137" ht="13.5" hidden="1" customHeight="1">
      <c r="A137" s="264"/>
      <c r="B137" s="126">
        <v>66.0</v>
      </c>
      <c r="C137" s="188" t="str">
        <f>(VLOOKUP($B137,'Пр.взв'!$D$6:$J$63,2,0))</f>
        <v>#N/A</v>
      </c>
      <c r="D137" s="189" t="str">
        <f>(VLOOKUP($B137,'Пр.взв'!$D$6:$J$63,5,0))</f>
        <v>#N/A</v>
      </c>
      <c r="E137" s="190" t="str">
        <f>(VLOOKUP($B137,'Пр.взв'!$D$6:$M$63,8,0))</f>
        <v>#N/A</v>
      </c>
      <c r="F137" s="130"/>
      <c r="G137" s="134"/>
      <c r="H137" s="132"/>
      <c r="I137" s="134"/>
      <c r="J137" s="133" t="str">
        <f>IF(H137="Х","Х",IF($AC137&lt;6," ","Х"))</f>
        <v> </v>
      </c>
      <c r="K137" s="134"/>
      <c r="L137" s="133" t="str">
        <f>IF(J137="Х","Х",IF(K137&lt;3," ",IF($AC137&lt;6," ","Х")))</f>
        <v> </v>
      </c>
      <c r="M137" s="134"/>
      <c r="N137" s="133" t="str">
        <f>IF(L137="Х","Х",IF(M137&lt;3," ",IF($AC137&lt;6," ","Х")))</f>
        <v> </v>
      </c>
      <c r="O137" s="134"/>
      <c r="P137" s="133" t="str">
        <f>IF(N137="Х","Х",IF(O137&lt;3," ",IF($AC137&lt;6," ","Х")))</f>
        <v> </v>
      </c>
      <c r="Q137" s="134"/>
      <c r="R137" s="133" t="str">
        <f>IF(P137="Х","Х",IF(Q137&lt;3," ",IF($AC137&lt;6," ","Х")))</f>
        <v> </v>
      </c>
      <c r="S137" s="134"/>
      <c r="T137" s="133" t="str">
        <f>IF(R137="Х","Х",IF(S137&lt;3," ",IF($AC137&lt;6," ","Х")))</f>
        <v> </v>
      </c>
      <c r="U137" s="135"/>
      <c r="V137" s="133" t="str">
        <f>IF(T137="Х","Х",IF(U137&lt;3," ",IF($AC137&lt;6," ","Х")))</f>
        <v> </v>
      </c>
      <c r="W137" s="135"/>
      <c r="X137" s="133" t="str">
        <f>IF(V137="А1",$AZ$7,IF(V137="Б2",$AZ$6,IF(V137="Б1",$BA$7,IF(V137="А2",$BA$6,IF(V137="Х","Х",IF(V137&lt;6," "," "))))))</f>
        <v> </v>
      </c>
      <c r="Y137" s="136"/>
      <c r="Z137" s="133" t="str">
        <f>IF(V137="Х","Х",IF(ISBLANK(Y137),"",IF(Y137&gt;2.5," ",IF(B137=BB$6,BB$7,BB$6))))</f>
        <v/>
      </c>
      <c r="AA137" s="136"/>
      <c r="AB137" s="240" t="str">
        <f>IF(H137="Х",F$5,IF(J137="Х",H$5,IF(L137="Х",J$5,IF(N137="Х",L$5,IF(P137="Х",N$5,IF(R137="Х",P$5,IF(T137="Х",R$5,IF(X137="Х",T$5,""))))))))</f>
        <v/>
      </c>
      <c r="AC137" s="138">
        <f>SUM(G137+I137+K137+M137+O137+Q137+S137+U137+Y137+AA137)</f>
        <v>0</v>
      </c>
      <c r="AD137" s="241" t="str">
        <f>AF137</f>
        <v>25-71</v>
      </c>
      <c r="AE137" s="140" t="str">
        <f>AD137</f>
        <v>25-71</v>
      </c>
      <c r="AF137" s="141" t="str">
        <f>COUNTIF(AG$6:AG$148,"&gt;"&amp;AG$6:AG$148)+1&amp;REPT("-"&amp;COUNTIF(AG$6:AG$148,"&gt;="&amp;AG$6:AG$148),COUNTIF(AG$6:AG$148,AG137)&gt;1)</f>
        <v>25-71</v>
      </c>
      <c r="AG137" s="142">
        <f>(AR137*100)+(AP137*10)-AC137</f>
        <v>80</v>
      </c>
      <c r="AH137" s="143" t="str">
        <f>IF(OR(F137="Х",F137="св")," ",IF(AND(G137&gt;=0,G137&lt;3),"1"," "))</f>
        <v>1</v>
      </c>
      <c r="AI137" s="90" t="str">
        <f>IF(OR(H137="Х",H137="св")," ",IF(AND(I137&gt;=0,I137&lt;3),"1"," "))</f>
        <v>1</v>
      </c>
      <c r="AJ137" s="90" t="str">
        <f>IF(OR(J137="Х",J137="св")," ",IF(AND(K137&gt;=0,K137&lt;3),"1"," "))</f>
        <v>1</v>
      </c>
      <c r="AK137" s="90" t="str">
        <f>IF(OR(L137="Х",L137="св")," ",IF(AND(M137&gt;=0,M137&lt;3),"1"," "))</f>
        <v>1</v>
      </c>
      <c r="AL137" s="90" t="str">
        <f>IF(OR(N137="Х",N137="св")," ",IF(AND(O137&gt;=0,O137&lt;3),"1"," "))</f>
        <v>1</v>
      </c>
      <c r="AM137" s="90" t="str">
        <f>IF(OR(P137="Х",P137="св")," ",IF(AND(Q137&gt;=0,Q137&lt;3),"1"," "))</f>
        <v>1</v>
      </c>
      <c r="AN137" s="90" t="str">
        <f>IF(OR(R137="Х",R137="св")," ",IF(AND(S137&gt;=0,S137&lt;3),"1"," "))</f>
        <v>1</v>
      </c>
      <c r="AO137" s="90" t="str">
        <f>IF(OR(T137="Х",T137="св")," ",IF(AND(U137&gt;=0,U137&lt;3),"1"," "))</f>
        <v>1</v>
      </c>
      <c r="AP137" s="90">
        <f>COUNTIF(AH137:AO138,1)</f>
        <v>8</v>
      </c>
      <c r="AQ137" s="90">
        <f>AG137-AC137</f>
        <v>80</v>
      </c>
      <c r="AR137" s="144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0" t="str">
        <f>COUNTIF(AG$6:AG$134,"&gt;"&amp;AG$6:AG$134)+1&amp;REPT("-"&amp;COUNTIF(AG$6:AG$134,"&gt;="&amp;AG$6:AG$134),COUNTIF(AG$6:AG$134,AG137)&gt;1)</f>
        <v>1-0</v>
      </c>
      <c r="AT137" s="143" t="str">
        <f t="shared" ref="AT137:AW137" si="71">COUNTIF(AU$6:AU$134,"&gt;"&amp;AU$6:AU$134)+1&amp;REPT("-"&amp;COUNTIF(AU$6:AU$134,"&gt;="&amp;AU$6:AU$134),COUNTIF(AU$6:AU$134,AU137)&gt;1)</f>
        <v>1-0</v>
      </c>
      <c r="AU137" s="143" t="str">
        <f t="shared" si="71"/>
        <v>1-0</v>
      </c>
      <c r="AV137" s="143" t="str">
        <f t="shared" si="71"/>
        <v>1</v>
      </c>
      <c r="AW137" s="143" t="str">
        <f t="shared" si="71"/>
        <v>1</v>
      </c>
      <c r="AX137" s="145">
        <f>IF(X137="Х","Х",IF(Y137&lt;3,B137,"Х"))</f>
        <v>66</v>
      </c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50">
        <v>66.0</v>
      </c>
      <c r="BN137" s="49"/>
      <c r="BO137" s="153" t="str">
        <f>IF(BM137&lt;BN137,BM137,"")</f>
        <v/>
      </c>
      <c r="BP137" s="49" t="s">
        <v>195</v>
      </c>
      <c r="BQ137" s="49"/>
      <c r="BR137" s="50" t="s">
        <v>195</v>
      </c>
      <c r="BS137" s="49"/>
      <c r="BT137" s="175" t="str">
        <f>IF(BR137&lt;BS137,BR137,"")</f>
        <v/>
      </c>
      <c r="BU137" s="49" t="s">
        <v>195</v>
      </c>
      <c r="BV137" s="49"/>
      <c r="BW137" s="49">
        <v>66.0</v>
      </c>
      <c r="BX137" s="49" t="s">
        <v>194</v>
      </c>
      <c r="BY137" s="160">
        <f t="array" ref="BY137">IF(BW137&lt;BX137,BW137,"")</f>
        <v>66</v>
      </c>
      <c r="BZ137" s="160">
        <f t="shared" si="17"/>
        <v>66</v>
      </c>
      <c r="CA137" s="49"/>
      <c r="CB137" s="74" t="str">
        <f t="shared" si="18"/>
        <v>св</v>
      </c>
      <c r="CC137" s="49"/>
      <c r="CD137" s="49"/>
      <c r="CE137" s="49">
        <v>66.0</v>
      </c>
      <c r="CF137" s="49" t="s">
        <v>194</v>
      </c>
      <c r="CG137" s="153">
        <f t="array" ref="CG137">IF(CE137&lt;CF137,CE137,"")</f>
        <v>66</v>
      </c>
      <c r="CH137" s="49">
        <v>66.0</v>
      </c>
      <c r="CI137" s="49"/>
      <c r="CJ137" s="49">
        <v>66.0</v>
      </c>
      <c r="CK137" s="49" t="s">
        <v>194</v>
      </c>
      <c r="CL137" s="153">
        <f t="array" ref="CL137">IF(CJ137&lt;CK137,CJ137,"")</f>
        <v>66</v>
      </c>
      <c r="CM137" s="49">
        <v>66.0</v>
      </c>
      <c r="CN137" s="49"/>
      <c r="CO137" s="49">
        <v>66.0</v>
      </c>
      <c r="CP137" s="49" t="s">
        <v>194</v>
      </c>
      <c r="CQ137" s="153">
        <f t="array" ref="CQ137">IF(CO137&lt;CP137,CO137,"")</f>
        <v>66</v>
      </c>
      <c r="CR137" s="49">
        <v>66.0</v>
      </c>
      <c r="CS137" s="49"/>
      <c r="CT137" s="49">
        <v>66.0</v>
      </c>
      <c r="CU137" s="49" t="s">
        <v>194</v>
      </c>
      <c r="CV137" s="153">
        <f t="array" ref="CV137">IF(CT137&lt;CU137,CT137,"")</f>
        <v>66</v>
      </c>
      <c r="CW137" s="49">
        <v>66.0</v>
      </c>
      <c r="CX137" s="49"/>
      <c r="CY137" s="49">
        <v>66.0</v>
      </c>
      <c r="CZ137" s="49" t="s">
        <v>194</v>
      </c>
      <c r="DA137" s="153">
        <f t="array" ref="DA137">IF(CY137&lt;CZ137,CY137,"")</f>
        <v>66</v>
      </c>
      <c r="DB137" s="49">
        <v>66.0</v>
      </c>
      <c r="DC137" s="49"/>
      <c r="DD137" s="49">
        <v>66.0</v>
      </c>
      <c r="DE137" s="49"/>
      <c r="DF137" s="49"/>
      <c r="DG137" s="49"/>
      <c r="DH137" s="49"/>
    </row>
    <row r="138" ht="13.5" hidden="1" customHeight="1">
      <c r="A138" s="264"/>
      <c r="B138" s="165"/>
      <c r="C138" s="165"/>
      <c r="D138" s="165"/>
      <c r="E138" s="165"/>
      <c r="F138" s="166"/>
      <c r="G138" s="167"/>
      <c r="H138" s="168"/>
      <c r="I138" s="167"/>
      <c r="J138" s="168"/>
      <c r="K138" s="167"/>
      <c r="L138" s="168"/>
      <c r="M138" s="167"/>
      <c r="N138" s="168"/>
      <c r="O138" s="167"/>
      <c r="P138" s="168"/>
      <c r="Q138" s="167"/>
      <c r="R138" s="168"/>
      <c r="S138" s="167"/>
      <c r="T138" s="168"/>
      <c r="U138" s="169"/>
      <c r="V138" s="168"/>
      <c r="W138" s="169"/>
      <c r="X138" s="168"/>
      <c r="Y138" s="167"/>
      <c r="Z138" s="168"/>
      <c r="AA138" s="167"/>
      <c r="AB138" s="166"/>
      <c r="AC138" s="165"/>
      <c r="AD138" s="168"/>
      <c r="AE138" s="170"/>
      <c r="AF138" s="171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50" t="s">
        <v>195</v>
      </c>
      <c r="BN138" s="49"/>
      <c r="BO138" s="175" t="str">
        <f>IF(BO137="","",BN137)</f>
        <v/>
      </c>
      <c r="BP138" s="49" t="s">
        <v>195</v>
      </c>
      <c r="BQ138" s="49"/>
      <c r="BR138" s="50" t="s">
        <v>195</v>
      </c>
      <c r="BS138" s="49"/>
      <c r="BT138" s="175" t="str">
        <f>IF(BT137="","",BS137)</f>
        <v/>
      </c>
      <c r="BU138" s="49" t="s">
        <v>195</v>
      </c>
      <c r="BV138" s="49"/>
      <c r="BW138" s="49" t="s">
        <v>195</v>
      </c>
      <c r="BX138" s="49"/>
      <c r="BY138" s="160" t="str">
        <f>IF(BY137="","",BX137)</f>
        <v> </v>
      </c>
      <c r="BZ138" s="260" t="str">
        <f t="shared" si="17"/>
        <v> </v>
      </c>
      <c r="CA138" s="49"/>
      <c r="CB138" s="262" t="str">
        <f t="shared" si="18"/>
        <v>св</v>
      </c>
      <c r="CC138" s="49"/>
      <c r="CD138" s="49"/>
      <c r="CE138" s="49" t="s">
        <v>195</v>
      </c>
      <c r="CF138" s="49"/>
      <c r="CG138" s="180" t="str">
        <f>IF(CG137="","",CF137)</f>
        <v> </v>
      </c>
      <c r="CH138" s="49" t="s">
        <v>194</v>
      </c>
      <c r="CI138" s="49"/>
      <c r="CJ138" s="49" t="s">
        <v>195</v>
      </c>
      <c r="CK138" s="49"/>
      <c r="CL138" s="180" t="str">
        <f>IF(CL137="","",CK137)</f>
        <v> </v>
      </c>
      <c r="CM138" s="49" t="s">
        <v>194</v>
      </c>
      <c r="CN138" s="49"/>
      <c r="CO138" s="49" t="s">
        <v>195</v>
      </c>
      <c r="CP138" s="49"/>
      <c r="CQ138" s="180" t="str">
        <f>IF(CQ137="","",CP137)</f>
        <v> </v>
      </c>
      <c r="CR138" s="49" t="s">
        <v>194</v>
      </c>
      <c r="CS138" s="49"/>
      <c r="CT138" s="49" t="s">
        <v>195</v>
      </c>
      <c r="CU138" s="49"/>
      <c r="CV138" s="180" t="str">
        <f>IF(CV137="","",CU137)</f>
        <v> </v>
      </c>
      <c r="CW138" s="49" t="s">
        <v>194</v>
      </c>
      <c r="CX138" s="49"/>
      <c r="CY138" s="49" t="s">
        <v>195</v>
      </c>
      <c r="CZ138" s="49"/>
      <c r="DA138" s="180" t="str">
        <f>IF(DA137="","",CZ137)</f>
        <v> </v>
      </c>
      <c r="DB138" s="49" t="s">
        <v>194</v>
      </c>
      <c r="DC138" s="49"/>
      <c r="DD138" s="49" t="s">
        <v>195</v>
      </c>
      <c r="DE138" s="49"/>
      <c r="DF138" s="49"/>
      <c r="DG138" s="49"/>
      <c r="DH138" s="49"/>
    </row>
    <row r="139" ht="13.5" hidden="1" customHeight="1">
      <c r="A139" s="264"/>
      <c r="B139" s="126">
        <v>67.0</v>
      </c>
      <c r="C139" s="188" t="str">
        <f>(VLOOKUP($B139,'Пр.взв'!$D$6:$J$63,2,0))</f>
        <v>#N/A</v>
      </c>
      <c r="D139" s="189" t="str">
        <f>(VLOOKUP($B139,'Пр.взв'!$D$6:$J$63,5,0))</f>
        <v>#N/A</v>
      </c>
      <c r="E139" s="190" t="str">
        <f>(VLOOKUP($B139,'Пр.взв'!$D$6:$M$63,8,0))</f>
        <v>#N/A</v>
      </c>
      <c r="F139" s="130"/>
      <c r="G139" s="134"/>
      <c r="H139" s="132"/>
      <c r="I139" s="134"/>
      <c r="J139" s="133" t="str">
        <f>IF(H139="Х","Х",IF($AC139&lt;6," ","Х"))</f>
        <v> </v>
      </c>
      <c r="K139" s="134"/>
      <c r="L139" s="133" t="str">
        <f>IF(J139="Х","Х",IF(K139&lt;3," ",IF($AC139&lt;6," ","Х")))</f>
        <v> </v>
      </c>
      <c r="M139" s="134"/>
      <c r="N139" s="133" t="str">
        <f>IF(L139="Х","Х",IF(M139&lt;3," ",IF($AC139&lt;6," ","Х")))</f>
        <v> </v>
      </c>
      <c r="O139" s="134"/>
      <c r="P139" s="133" t="str">
        <f>IF(N139="Х","Х",IF(O139&lt;3," ",IF($AC139&lt;6," ","Х")))</f>
        <v> </v>
      </c>
      <c r="Q139" s="134"/>
      <c r="R139" s="133" t="str">
        <f>IF(P139="Х","Х",IF(Q139&lt;3," ",IF($AC139&lt;6," ","Х")))</f>
        <v> </v>
      </c>
      <c r="S139" s="134"/>
      <c r="T139" s="133" t="str">
        <f>IF(R139="Х","Х",IF(S139&lt;3," ",IF($AC139&lt;6," ","Х")))</f>
        <v> </v>
      </c>
      <c r="U139" s="135"/>
      <c r="V139" s="133" t="str">
        <f>IF(T139="Х","Х",IF(U139&lt;3," ",IF($AC139&lt;6," ","Х")))</f>
        <v> </v>
      </c>
      <c r="W139" s="135"/>
      <c r="X139" s="133" t="str">
        <f>IF(V139="А1",$AZ$7,IF(V139="Б2",$AZ$6,IF(V139="Б1",$BA$7,IF(V139="А2",$BA$6,IF(V139="Х","Х",IF(V139&lt;6," "," "))))))</f>
        <v> </v>
      </c>
      <c r="Y139" s="136"/>
      <c r="Z139" s="133" t="str">
        <f>IF(V139="Х","Х",IF(ISBLANK(Y139),"",IF(Y139&gt;2.5," ",IF(B139=BB$6,BB$7,BB$6))))</f>
        <v/>
      </c>
      <c r="AA139" s="136"/>
      <c r="AB139" s="240" t="str">
        <f>IF(H139="Х",F$5,IF(J139="Х",H$5,IF(L139="Х",J$5,IF(N139="Х",L$5,IF(P139="Х",N$5,IF(R139="Х",P$5,IF(T139="Х",R$5,IF(X139="Х",T$5,""))))))))</f>
        <v/>
      </c>
      <c r="AC139" s="138">
        <f>SUM(G139+I139+K139+M139+O139+Q139+S139+U139+Y139+AA139)</f>
        <v>0</v>
      </c>
      <c r="AD139" s="241" t="str">
        <f>AF139</f>
        <v>25-71</v>
      </c>
      <c r="AE139" s="140" t="str">
        <f>AD139</f>
        <v>25-71</v>
      </c>
      <c r="AF139" s="141" t="str">
        <f>COUNTIF(AG$6:AG$148,"&gt;"&amp;AG$6:AG$148)+1&amp;REPT("-"&amp;COUNTIF(AG$6:AG$148,"&gt;="&amp;AG$6:AG$148),COUNTIF(AG$6:AG$148,AG139)&gt;1)</f>
        <v>25-71</v>
      </c>
      <c r="AG139" s="142">
        <f>(AR139*100)+(AP139*10)-AC139</f>
        <v>80</v>
      </c>
      <c r="AH139" s="143" t="str">
        <f>IF(OR(F139="Х",F139="св")," ",IF(AND(G139&gt;=0,G139&lt;3),"1"," "))</f>
        <v>1</v>
      </c>
      <c r="AI139" s="90" t="str">
        <f>IF(OR(H139="Х",H139="св")," ",IF(AND(I139&gt;=0,I139&lt;3),"1"," "))</f>
        <v>1</v>
      </c>
      <c r="AJ139" s="90" t="str">
        <f>IF(OR(J139="Х",J139="св")," ",IF(AND(K139&gt;=0,K139&lt;3),"1"," "))</f>
        <v>1</v>
      </c>
      <c r="AK139" s="90" t="str">
        <f>IF(OR(L139="Х",L139="св")," ",IF(AND(M139&gt;=0,M139&lt;3),"1"," "))</f>
        <v>1</v>
      </c>
      <c r="AL139" s="90" t="str">
        <f>IF(OR(N139="Х",N139="св")," ",IF(AND(O139&gt;=0,O139&lt;3),"1"," "))</f>
        <v>1</v>
      </c>
      <c r="AM139" s="90" t="str">
        <f>IF(OR(P139="Х",P139="св")," ",IF(AND(Q139&gt;=0,Q139&lt;3),"1"," "))</f>
        <v>1</v>
      </c>
      <c r="AN139" s="90" t="str">
        <f>IF(OR(R139="Х",R139="св")," ",IF(AND(S139&gt;=0,S139&lt;3),"1"," "))</f>
        <v>1</v>
      </c>
      <c r="AO139" s="90" t="str">
        <f>IF(OR(T139="Х",T139="св")," ",IF(AND(U139&gt;=0,U139&lt;3),"1"," "))</f>
        <v>1</v>
      </c>
      <c r="AP139" s="90">
        <f>COUNTIF(AH139:AO140,1)</f>
        <v>8</v>
      </c>
      <c r="AQ139" s="90">
        <f>AG139-AC139</f>
        <v>80</v>
      </c>
      <c r="AR139" s="144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0" t="str">
        <f>COUNTIF(AG$6:AG$134,"&gt;"&amp;AG$6:AG$134)+1&amp;REPT("-"&amp;COUNTIF(AG$6:AG$134,"&gt;="&amp;AG$6:AG$134),COUNTIF(AG$6:AG$134,AG139)&gt;1)</f>
        <v>1-0</v>
      </c>
      <c r="AT139" s="143" t="str">
        <f t="shared" ref="AT139:AW139" si="72">COUNTIF(AU$6:AU$134,"&gt;"&amp;AU$6:AU$134)+1&amp;REPT("-"&amp;COUNTIF(AU$6:AU$134,"&gt;="&amp;AU$6:AU$134),COUNTIF(AU$6:AU$134,AU139)&gt;1)</f>
        <v>1-0</v>
      </c>
      <c r="AU139" s="143" t="str">
        <f t="shared" si="72"/>
        <v>1-0</v>
      </c>
      <c r="AV139" s="143" t="str">
        <f t="shared" si="72"/>
        <v>1</v>
      </c>
      <c r="AW139" s="143" t="str">
        <f t="shared" si="72"/>
        <v>1</v>
      </c>
      <c r="AX139" s="145">
        <f>IF(X139="Х","Х",IF(Y139&lt;3,B139,"Х"))</f>
        <v>67</v>
      </c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50">
        <v>67.0</v>
      </c>
      <c r="BN139" s="49"/>
      <c r="BO139" s="153" t="str">
        <f>IF(BM139&lt;BN139,BM139,"")</f>
        <v/>
      </c>
      <c r="BP139" s="49" t="s">
        <v>195</v>
      </c>
      <c r="BQ139" s="49"/>
      <c r="BR139" s="50" t="s">
        <v>195</v>
      </c>
      <c r="BS139" s="49"/>
      <c r="BT139" s="175" t="str">
        <f>IF(BR139&lt;BS139,BR139,"")</f>
        <v/>
      </c>
      <c r="BU139" s="49" t="s">
        <v>195</v>
      </c>
      <c r="BV139" s="49"/>
      <c r="BW139" s="49">
        <v>67.0</v>
      </c>
      <c r="BX139" s="49" t="s">
        <v>194</v>
      </c>
      <c r="BY139" s="160">
        <f t="array" ref="BY139">IF(BW139&lt;BX139,BW139,"")</f>
        <v>67</v>
      </c>
      <c r="BZ139" s="160">
        <f t="shared" si="17"/>
        <v>67</v>
      </c>
      <c r="CA139" s="49"/>
      <c r="CB139" s="74" t="str">
        <f t="shared" si="18"/>
        <v>св</v>
      </c>
      <c r="CC139" s="49"/>
      <c r="CD139" s="49"/>
      <c r="CE139" s="49">
        <v>67.0</v>
      </c>
      <c r="CF139" s="49" t="s">
        <v>194</v>
      </c>
      <c r="CG139" s="153">
        <f t="array" ref="CG139">IF(CE139&lt;CF139,CE139,"")</f>
        <v>67</v>
      </c>
      <c r="CH139" s="49">
        <v>67.0</v>
      </c>
      <c r="CI139" s="49"/>
      <c r="CJ139" s="49">
        <v>67.0</v>
      </c>
      <c r="CK139" s="49" t="s">
        <v>194</v>
      </c>
      <c r="CL139" s="153">
        <f t="array" ref="CL139">IF(CJ139&lt;CK139,CJ139,"")</f>
        <v>67</v>
      </c>
      <c r="CM139" s="49">
        <v>67.0</v>
      </c>
      <c r="CN139" s="49"/>
      <c r="CO139" s="49">
        <v>67.0</v>
      </c>
      <c r="CP139" s="49" t="s">
        <v>194</v>
      </c>
      <c r="CQ139" s="153">
        <f t="array" ref="CQ139">IF(CO139&lt;CP139,CO139,"")</f>
        <v>67</v>
      </c>
      <c r="CR139" s="49">
        <v>67.0</v>
      </c>
      <c r="CS139" s="49"/>
      <c r="CT139" s="49">
        <v>67.0</v>
      </c>
      <c r="CU139" s="49" t="s">
        <v>194</v>
      </c>
      <c r="CV139" s="153">
        <f t="array" ref="CV139">IF(CT139&lt;CU139,CT139,"")</f>
        <v>67</v>
      </c>
      <c r="CW139" s="49">
        <v>67.0</v>
      </c>
      <c r="CX139" s="49"/>
      <c r="CY139" s="49">
        <v>67.0</v>
      </c>
      <c r="CZ139" s="49" t="s">
        <v>194</v>
      </c>
      <c r="DA139" s="153">
        <f t="array" ref="DA139">IF(CY139&lt;CZ139,CY139,"")</f>
        <v>67</v>
      </c>
      <c r="DB139" s="49">
        <v>67.0</v>
      </c>
      <c r="DC139" s="49"/>
      <c r="DD139" s="49">
        <v>67.0</v>
      </c>
      <c r="DE139" s="49"/>
      <c r="DF139" s="49"/>
      <c r="DG139" s="49"/>
      <c r="DH139" s="49"/>
    </row>
    <row r="140" ht="13.5" hidden="1" customHeight="1">
      <c r="A140" s="264"/>
      <c r="B140" s="165"/>
      <c r="C140" s="165"/>
      <c r="D140" s="165"/>
      <c r="E140" s="165"/>
      <c r="F140" s="166"/>
      <c r="G140" s="167"/>
      <c r="H140" s="168"/>
      <c r="I140" s="167"/>
      <c r="J140" s="168"/>
      <c r="K140" s="167"/>
      <c r="L140" s="168"/>
      <c r="M140" s="167"/>
      <c r="N140" s="168"/>
      <c r="O140" s="167"/>
      <c r="P140" s="168"/>
      <c r="Q140" s="167"/>
      <c r="R140" s="168"/>
      <c r="S140" s="167"/>
      <c r="T140" s="168"/>
      <c r="U140" s="169"/>
      <c r="V140" s="168"/>
      <c r="W140" s="169"/>
      <c r="X140" s="168"/>
      <c r="Y140" s="167"/>
      <c r="Z140" s="168"/>
      <c r="AA140" s="167"/>
      <c r="AB140" s="166"/>
      <c r="AC140" s="165"/>
      <c r="AD140" s="168"/>
      <c r="AE140" s="170"/>
      <c r="AF140" s="171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50" t="s">
        <v>195</v>
      </c>
      <c r="BN140" s="49"/>
      <c r="BO140" s="175" t="str">
        <f>IF(BO139="","",BN139)</f>
        <v/>
      </c>
      <c r="BP140" s="49" t="s">
        <v>195</v>
      </c>
      <c r="BQ140" s="49"/>
      <c r="BR140" s="50" t="s">
        <v>195</v>
      </c>
      <c r="BS140" s="49"/>
      <c r="BT140" s="175" t="str">
        <f>IF(BT139="","",BS139)</f>
        <v/>
      </c>
      <c r="BU140" s="49" t="s">
        <v>195</v>
      </c>
      <c r="BV140" s="49"/>
      <c r="BW140" s="49" t="s">
        <v>195</v>
      </c>
      <c r="BX140" s="49"/>
      <c r="BY140" s="160" t="str">
        <f>IF(BY139="","",BX139)</f>
        <v> </v>
      </c>
      <c r="BZ140" s="260" t="str">
        <f t="shared" si="17"/>
        <v> </v>
      </c>
      <c r="CA140" s="49"/>
      <c r="CB140" s="262" t="str">
        <f t="shared" si="18"/>
        <v>св</v>
      </c>
      <c r="CC140" s="49"/>
      <c r="CD140" s="49"/>
      <c r="CE140" s="49" t="s">
        <v>195</v>
      </c>
      <c r="CF140" s="49"/>
      <c r="CG140" s="180" t="str">
        <f>IF(CG139="","",CF139)</f>
        <v> </v>
      </c>
      <c r="CH140" s="49" t="s">
        <v>194</v>
      </c>
      <c r="CI140" s="49"/>
      <c r="CJ140" s="49" t="s">
        <v>195</v>
      </c>
      <c r="CK140" s="49"/>
      <c r="CL140" s="180" t="str">
        <f>IF(CL139="","",CK139)</f>
        <v> </v>
      </c>
      <c r="CM140" s="49" t="s">
        <v>194</v>
      </c>
      <c r="CN140" s="49"/>
      <c r="CO140" s="49" t="s">
        <v>195</v>
      </c>
      <c r="CP140" s="49"/>
      <c r="CQ140" s="180" t="str">
        <f>IF(CQ139="","",CP139)</f>
        <v> </v>
      </c>
      <c r="CR140" s="49" t="s">
        <v>194</v>
      </c>
      <c r="CS140" s="49"/>
      <c r="CT140" s="49" t="s">
        <v>195</v>
      </c>
      <c r="CU140" s="49"/>
      <c r="CV140" s="180" t="str">
        <f>IF(CV139="","",CU139)</f>
        <v> </v>
      </c>
      <c r="CW140" s="49" t="s">
        <v>194</v>
      </c>
      <c r="CX140" s="49"/>
      <c r="CY140" s="49" t="s">
        <v>195</v>
      </c>
      <c r="CZ140" s="49"/>
      <c r="DA140" s="180" t="str">
        <f>IF(DA139="","",CZ139)</f>
        <v> </v>
      </c>
      <c r="DB140" s="49" t="s">
        <v>194</v>
      </c>
      <c r="DC140" s="49"/>
      <c r="DD140" s="49" t="s">
        <v>195</v>
      </c>
      <c r="DE140" s="49"/>
      <c r="DF140" s="49"/>
      <c r="DG140" s="49"/>
      <c r="DH140" s="49"/>
    </row>
    <row r="141" ht="13.5" hidden="1" customHeight="1">
      <c r="A141" s="264"/>
      <c r="B141" s="126">
        <v>68.0</v>
      </c>
      <c r="C141" s="188" t="str">
        <f>(VLOOKUP($B141,'Пр.взв'!$D$6:$J$63,2,0))</f>
        <v>#N/A</v>
      </c>
      <c r="D141" s="189" t="str">
        <f>(VLOOKUP($B141,'Пр.взв'!$D$6:$J$63,5,0))</f>
        <v>#N/A</v>
      </c>
      <c r="E141" s="190" t="str">
        <f>(VLOOKUP($B141,'Пр.взв'!$D$6:$M$63,8,0))</f>
        <v>#N/A</v>
      </c>
      <c r="F141" s="130"/>
      <c r="G141" s="134"/>
      <c r="H141" s="132"/>
      <c r="I141" s="134"/>
      <c r="J141" s="133" t="str">
        <f>IF(H141="Х","Х",IF($AC141&lt;6," ","Х"))</f>
        <v> </v>
      </c>
      <c r="K141" s="134"/>
      <c r="L141" s="133" t="str">
        <f>IF(J141="Х","Х",IF(K141&lt;3," ",IF($AC141&lt;6," ","Х")))</f>
        <v> </v>
      </c>
      <c r="M141" s="134"/>
      <c r="N141" s="133" t="str">
        <f>IF(L141="Х","Х",IF(M141&lt;3," ",IF($AC141&lt;6," ","Х")))</f>
        <v> </v>
      </c>
      <c r="O141" s="134"/>
      <c r="P141" s="133" t="str">
        <f>IF(N141="Х","Х",IF(O141&lt;3," ",IF($AC141&lt;6," ","Х")))</f>
        <v> </v>
      </c>
      <c r="Q141" s="134"/>
      <c r="R141" s="133" t="str">
        <f>IF(P141="Х","Х",IF(Q141&lt;3," ",IF($AC141&lt;6," ","Х")))</f>
        <v> </v>
      </c>
      <c r="S141" s="134"/>
      <c r="T141" s="133" t="str">
        <f>IF(R141="Х","Х",IF(S141&lt;3," ",IF($AC141&lt;6," ","Х")))</f>
        <v> </v>
      </c>
      <c r="U141" s="135"/>
      <c r="V141" s="133" t="str">
        <f>IF(T141="Х","Х",IF(U141&lt;3," ",IF($AC141&lt;6," ","Х")))</f>
        <v> </v>
      </c>
      <c r="W141" s="135"/>
      <c r="X141" s="133" t="str">
        <f>IF(V141="А1",$AZ$7,IF(V141="Б2",$AZ$6,IF(V141="Б1",$BA$7,IF(V141="А2",$BA$6,IF(V141="Х","Х",IF(V141&lt;6," "," "))))))</f>
        <v> </v>
      </c>
      <c r="Y141" s="136"/>
      <c r="Z141" s="133" t="str">
        <f>IF(V141="Х","Х",IF(ISBLANK(Y141),"",IF(Y141&gt;2.5," ",IF(B141=BB$6,BB$7,BB$6))))</f>
        <v/>
      </c>
      <c r="AA141" s="136"/>
      <c r="AB141" s="240" t="str">
        <f>IF(H141="Х",F$5,IF(J141="Х",H$5,IF(L141="Х",J$5,IF(N141="Х",L$5,IF(P141="Х",N$5,IF(R141="Х",P$5,IF(T141="Х",R$5,IF(X141="Х",T$5,""))))))))</f>
        <v/>
      </c>
      <c r="AC141" s="138">
        <f>SUM(G141+I141+K141+M141+O141+Q141+S141+U141+Y141+AA141)</f>
        <v>0</v>
      </c>
      <c r="AD141" s="241" t="str">
        <f>AF141</f>
        <v>25-71</v>
      </c>
      <c r="AE141" s="140" t="str">
        <f>AD141</f>
        <v>25-71</v>
      </c>
      <c r="AF141" s="141" t="str">
        <f>COUNTIF(AG$6:AG$148,"&gt;"&amp;AG$6:AG$148)+1&amp;REPT("-"&amp;COUNTIF(AG$6:AG$148,"&gt;="&amp;AG$6:AG$148),COUNTIF(AG$6:AG$148,AG141)&gt;1)</f>
        <v>25-71</v>
      </c>
      <c r="AG141" s="142">
        <f>(AR141*100)+(AP141*10)-AC141</f>
        <v>80</v>
      </c>
      <c r="AH141" s="143" t="str">
        <f>IF(OR(F141="Х",F141="св")," ",IF(AND(G141&gt;=0,G141&lt;3),"1"," "))</f>
        <v>1</v>
      </c>
      <c r="AI141" s="90" t="str">
        <f>IF(OR(H141="Х",H141="св")," ",IF(AND(I141&gt;=0,I141&lt;3),"1"," "))</f>
        <v>1</v>
      </c>
      <c r="AJ141" s="90" t="str">
        <f>IF(OR(J141="Х",J141="св")," ",IF(AND(K141&gt;=0,K141&lt;3),"1"," "))</f>
        <v>1</v>
      </c>
      <c r="AK141" s="90" t="str">
        <f>IF(OR(L141="Х",L141="св")," ",IF(AND(M141&gt;=0,M141&lt;3),"1"," "))</f>
        <v>1</v>
      </c>
      <c r="AL141" s="90" t="str">
        <f>IF(OR(N141="Х",N141="св")," ",IF(AND(O141&gt;=0,O141&lt;3),"1"," "))</f>
        <v>1</v>
      </c>
      <c r="AM141" s="90" t="str">
        <f>IF(OR(P141="Х",P141="св")," ",IF(AND(Q141&gt;=0,Q141&lt;3),"1"," "))</f>
        <v>1</v>
      </c>
      <c r="AN141" s="90" t="str">
        <f>IF(OR(R141="Х",R141="св")," ",IF(AND(S141&gt;=0,S141&lt;3),"1"," "))</f>
        <v>1</v>
      </c>
      <c r="AO141" s="90" t="str">
        <f>IF(OR(T141="Х",T141="св")," ",IF(AND(U141&gt;=0,U141&lt;3),"1"," "))</f>
        <v>1</v>
      </c>
      <c r="AP141" s="90">
        <f>COUNTIF(AH141:AO142,1)</f>
        <v>8</v>
      </c>
      <c r="AQ141" s="90">
        <f>AG141-AC141</f>
        <v>80</v>
      </c>
      <c r="AR141" s="144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0" t="str">
        <f>COUNTIF(AG$6:AG$134,"&gt;"&amp;AG$6:AG$134)+1&amp;REPT("-"&amp;COUNTIF(AG$6:AG$134,"&gt;="&amp;AG$6:AG$134),COUNTIF(AG$6:AG$134,AG141)&gt;1)</f>
        <v>1-0</v>
      </c>
      <c r="AT141" s="143" t="str">
        <f t="shared" ref="AT141:AW141" si="73">COUNTIF(AU$6:AU$134,"&gt;"&amp;AU$6:AU$134)+1&amp;REPT("-"&amp;COUNTIF(AU$6:AU$134,"&gt;="&amp;AU$6:AU$134),COUNTIF(AU$6:AU$134,AU141)&gt;1)</f>
        <v>1-0</v>
      </c>
      <c r="AU141" s="143" t="str">
        <f t="shared" si="73"/>
        <v>1-0</v>
      </c>
      <c r="AV141" s="143" t="str">
        <f t="shared" si="73"/>
        <v>1</v>
      </c>
      <c r="AW141" s="143" t="str">
        <f t="shared" si="73"/>
        <v>1</v>
      </c>
      <c r="AX141" s="145">
        <f>IF(X141="Х","Х",IF(Y141&lt;3,B141,"Х"))</f>
        <v>68</v>
      </c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50">
        <v>68.0</v>
      </c>
      <c r="BN141" s="49"/>
      <c r="BO141" s="153" t="str">
        <f>IF(BM141&lt;BN141,BM141,"")</f>
        <v/>
      </c>
      <c r="BP141" s="49" t="s">
        <v>195</v>
      </c>
      <c r="BQ141" s="49"/>
      <c r="BR141" s="50" t="s">
        <v>195</v>
      </c>
      <c r="BS141" s="49"/>
      <c r="BT141" s="175" t="str">
        <f>IF(BR141&lt;BS141,BR141,"")</f>
        <v/>
      </c>
      <c r="BU141" s="49" t="s">
        <v>195</v>
      </c>
      <c r="BV141" s="49"/>
      <c r="BW141" s="49">
        <v>68.0</v>
      </c>
      <c r="BX141" s="49" t="s">
        <v>194</v>
      </c>
      <c r="BY141" s="160">
        <f t="array" ref="BY141">IF(BW141&lt;BX141,BW141,"")</f>
        <v>68</v>
      </c>
      <c r="BZ141" s="160">
        <f t="shared" si="17"/>
        <v>68</v>
      </c>
      <c r="CA141" s="49"/>
      <c r="CB141" s="74" t="str">
        <f t="shared" si="18"/>
        <v>св</v>
      </c>
      <c r="CC141" s="49"/>
      <c r="CD141" s="49"/>
      <c r="CE141" s="49">
        <v>68.0</v>
      </c>
      <c r="CF141" s="49" t="s">
        <v>194</v>
      </c>
      <c r="CG141" s="153">
        <f t="array" ref="CG141">IF(CE141&lt;CF141,CE141,"")</f>
        <v>68</v>
      </c>
      <c r="CH141" s="49">
        <v>68.0</v>
      </c>
      <c r="CI141" s="49"/>
      <c r="CJ141" s="49">
        <v>68.0</v>
      </c>
      <c r="CK141" s="49" t="s">
        <v>194</v>
      </c>
      <c r="CL141" s="153">
        <f t="array" ref="CL141">IF(CJ141&lt;CK141,CJ141,"")</f>
        <v>68</v>
      </c>
      <c r="CM141" s="49">
        <v>68.0</v>
      </c>
      <c r="CN141" s="49"/>
      <c r="CO141" s="49">
        <v>68.0</v>
      </c>
      <c r="CP141" s="49" t="s">
        <v>194</v>
      </c>
      <c r="CQ141" s="153">
        <f t="array" ref="CQ141">IF(CO141&lt;CP141,CO141,"")</f>
        <v>68</v>
      </c>
      <c r="CR141" s="49">
        <v>68.0</v>
      </c>
      <c r="CS141" s="49"/>
      <c r="CT141" s="49">
        <v>68.0</v>
      </c>
      <c r="CU141" s="49" t="s">
        <v>194</v>
      </c>
      <c r="CV141" s="153">
        <f t="array" ref="CV141">IF(CT141&lt;CU141,CT141,"")</f>
        <v>68</v>
      </c>
      <c r="CW141" s="49">
        <v>68.0</v>
      </c>
      <c r="CX141" s="49"/>
      <c r="CY141" s="49">
        <v>68.0</v>
      </c>
      <c r="CZ141" s="49" t="s">
        <v>194</v>
      </c>
      <c r="DA141" s="153">
        <f t="array" ref="DA141">IF(CY141&lt;CZ141,CY141,"")</f>
        <v>68</v>
      </c>
      <c r="DB141" s="49">
        <v>68.0</v>
      </c>
      <c r="DC141" s="49"/>
      <c r="DD141" s="49">
        <v>68.0</v>
      </c>
      <c r="DE141" s="49"/>
      <c r="DF141" s="49"/>
      <c r="DG141" s="49"/>
      <c r="DH141" s="49"/>
    </row>
    <row r="142" ht="13.5" hidden="1" customHeight="1">
      <c r="A142" s="264"/>
      <c r="B142" s="165"/>
      <c r="C142" s="165"/>
      <c r="D142" s="165"/>
      <c r="E142" s="165"/>
      <c r="F142" s="166"/>
      <c r="G142" s="167"/>
      <c r="H142" s="168"/>
      <c r="I142" s="167"/>
      <c r="J142" s="168"/>
      <c r="K142" s="167"/>
      <c r="L142" s="168"/>
      <c r="M142" s="167"/>
      <c r="N142" s="168"/>
      <c r="O142" s="167"/>
      <c r="P142" s="168"/>
      <c r="Q142" s="167"/>
      <c r="R142" s="168"/>
      <c r="S142" s="167"/>
      <c r="T142" s="168"/>
      <c r="U142" s="169"/>
      <c r="V142" s="168"/>
      <c r="W142" s="169"/>
      <c r="X142" s="168"/>
      <c r="Y142" s="167"/>
      <c r="Z142" s="168"/>
      <c r="AA142" s="167"/>
      <c r="AB142" s="166"/>
      <c r="AC142" s="165"/>
      <c r="AD142" s="168"/>
      <c r="AE142" s="170"/>
      <c r="AF142" s="171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50" t="s">
        <v>195</v>
      </c>
      <c r="BN142" s="49"/>
      <c r="BO142" s="175" t="str">
        <f>IF(BO141="","",BN141)</f>
        <v/>
      </c>
      <c r="BP142" s="49" t="s">
        <v>195</v>
      </c>
      <c r="BQ142" s="49"/>
      <c r="BR142" s="50" t="s">
        <v>195</v>
      </c>
      <c r="BS142" s="49"/>
      <c r="BT142" s="175" t="str">
        <f>IF(BT141="","",BS141)</f>
        <v/>
      </c>
      <c r="BU142" s="49" t="s">
        <v>195</v>
      </c>
      <c r="BV142" s="49"/>
      <c r="BW142" s="49" t="s">
        <v>195</v>
      </c>
      <c r="BX142" s="49"/>
      <c r="BY142" s="160" t="str">
        <f>IF(BY141="","",BX141)</f>
        <v> </v>
      </c>
      <c r="BZ142" s="260" t="str">
        <f t="shared" si="17"/>
        <v> </v>
      </c>
      <c r="CA142" s="49"/>
      <c r="CB142" s="262" t="str">
        <f t="shared" si="18"/>
        <v>св</v>
      </c>
      <c r="CC142" s="49"/>
      <c r="CD142" s="49"/>
      <c r="CE142" s="49" t="s">
        <v>195</v>
      </c>
      <c r="CF142" s="49"/>
      <c r="CG142" s="180" t="str">
        <f>IF(CG141="","",CF141)</f>
        <v> </v>
      </c>
      <c r="CH142" s="49" t="s">
        <v>194</v>
      </c>
      <c r="CI142" s="49"/>
      <c r="CJ142" s="49" t="s">
        <v>195</v>
      </c>
      <c r="CK142" s="49"/>
      <c r="CL142" s="180" t="str">
        <f>IF(CL141="","",CK141)</f>
        <v> </v>
      </c>
      <c r="CM142" s="49" t="s">
        <v>194</v>
      </c>
      <c r="CN142" s="49"/>
      <c r="CO142" s="49" t="s">
        <v>195</v>
      </c>
      <c r="CP142" s="49"/>
      <c r="CQ142" s="180" t="str">
        <f>IF(CQ141="","",CP141)</f>
        <v> </v>
      </c>
      <c r="CR142" s="49" t="s">
        <v>194</v>
      </c>
      <c r="CS142" s="49"/>
      <c r="CT142" s="49" t="s">
        <v>195</v>
      </c>
      <c r="CU142" s="49"/>
      <c r="CV142" s="180" t="str">
        <f>IF(CV141="","",CU141)</f>
        <v> </v>
      </c>
      <c r="CW142" s="49" t="s">
        <v>194</v>
      </c>
      <c r="CX142" s="49"/>
      <c r="CY142" s="49" t="s">
        <v>195</v>
      </c>
      <c r="CZ142" s="49"/>
      <c r="DA142" s="180" t="str">
        <f>IF(DA141="","",CZ141)</f>
        <v> </v>
      </c>
      <c r="DB142" s="49" t="s">
        <v>194</v>
      </c>
      <c r="DC142" s="49"/>
      <c r="DD142" s="49" t="s">
        <v>195</v>
      </c>
      <c r="DE142" s="49"/>
      <c r="DF142" s="49"/>
      <c r="DG142" s="49"/>
      <c r="DH142" s="49"/>
    </row>
    <row r="143" ht="13.5" hidden="1" customHeight="1">
      <c r="A143" s="264"/>
      <c r="B143" s="126">
        <v>69.0</v>
      </c>
      <c r="C143" s="188" t="str">
        <f>(VLOOKUP($B143,'Пр.взв'!$D$6:$J$63,2,0))</f>
        <v>#N/A</v>
      </c>
      <c r="D143" s="189" t="str">
        <f>(VLOOKUP($B143,'Пр.взв'!$D$6:$J$63,5,0))</f>
        <v>#N/A</v>
      </c>
      <c r="E143" s="190" t="str">
        <f>(VLOOKUP($B143,'Пр.взв'!$D$6:$M$63,8,0))</f>
        <v>#N/A</v>
      </c>
      <c r="F143" s="130"/>
      <c r="G143" s="134"/>
      <c r="H143" s="132"/>
      <c r="I143" s="134"/>
      <c r="J143" s="133" t="str">
        <f>IF(H143="Х","Х",IF($AC143&lt;6," ","Х"))</f>
        <v> </v>
      </c>
      <c r="K143" s="134"/>
      <c r="L143" s="133" t="str">
        <f>IF(J143="Х","Х",IF(K143&lt;3," ",IF($AC143&lt;6," ","Х")))</f>
        <v> </v>
      </c>
      <c r="M143" s="134"/>
      <c r="N143" s="133" t="str">
        <f>IF(L143="Х","Х",IF(M143&lt;3," ",IF($AC143&lt;6," ","Х")))</f>
        <v> </v>
      </c>
      <c r="O143" s="134"/>
      <c r="P143" s="133" t="str">
        <f>IF(N143="Х","Х",IF(O143&lt;3," ",IF($AC143&lt;6," ","Х")))</f>
        <v> </v>
      </c>
      <c r="Q143" s="134"/>
      <c r="R143" s="133" t="str">
        <f>IF(P143="Х","Х",IF(Q143&lt;3," ",IF($AC143&lt;6," ","Х")))</f>
        <v> </v>
      </c>
      <c r="S143" s="134"/>
      <c r="T143" s="133" t="str">
        <f>IF(R143="Х","Х",IF(S143&lt;3," ",IF($AC143&lt;6," ","Х")))</f>
        <v> </v>
      </c>
      <c r="U143" s="135"/>
      <c r="V143" s="133" t="str">
        <f>IF(T143="Х","Х",IF(U143&lt;3," ",IF($AC143&lt;6," ","Х")))</f>
        <v> </v>
      </c>
      <c r="W143" s="135"/>
      <c r="X143" s="133" t="str">
        <f>IF(V143="А1",$AZ$7,IF(V143="Б2",$AZ$6,IF(V143="Б1",$BA$7,IF(V143="А2",$BA$6,IF(V143="Х","Х",IF(V143&lt;6," "," "))))))</f>
        <v> </v>
      </c>
      <c r="Y143" s="136"/>
      <c r="Z143" s="133" t="str">
        <f>IF(V143="Х","Х",IF(ISBLANK(Y143),"",IF(Y143&gt;2.5," ",IF(B143=BB$6,BB$7,BB$6))))</f>
        <v/>
      </c>
      <c r="AA143" s="136"/>
      <c r="AB143" s="240" t="str">
        <f>IF(H143="Х",F$5,IF(J143="Х",H$5,IF(L143="Х",J$5,IF(N143="Х",L$5,IF(P143="Х",N$5,IF(R143="Х",P$5,IF(T143="Х",R$5,IF(X143="Х",T$5,""))))))))</f>
        <v/>
      </c>
      <c r="AC143" s="138">
        <f>SUM(G143+I143+K143+M143+O143+Q143+S143+U143+Y143+AA143)</f>
        <v>0</v>
      </c>
      <c r="AD143" s="241" t="str">
        <f>AF143</f>
        <v>25-71</v>
      </c>
      <c r="AE143" s="140" t="str">
        <f>AD143</f>
        <v>25-71</v>
      </c>
      <c r="AF143" s="141" t="str">
        <f>COUNTIF(AG$6:AG$148,"&gt;"&amp;AG$6:AG$148)+1&amp;REPT("-"&amp;COUNTIF(AG$6:AG$148,"&gt;="&amp;AG$6:AG$148),COUNTIF(AG$6:AG$148,AG143)&gt;1)</f>
        <v>25-71</v>
      </c>
      <c r="AG143" s="142">
        <f>(AR143*100)+(AP143*10)-AC143</f>
        <v>80</v>
      </c>
      <c r="AH143" s="143" t="str">
        <f>IF(OR(F143="Х",F143="св")," ",IF(AND(G143&gt;=0,G143&lt;3),"1"," "))</f>
        <v>1</v>
      </c>
      <c r="AI143" s="90" t="str">
        <f>IF(OR(H143="Х",H143="св")," ",IF(AND(I143&gt;=0,I143&lt;3),"1"," "))</f>
        <v>1</v>
      </c>
      <c r="AJ143" s="90" t="str">
        <f>IF(OR(J143="Х",J143="св")," ",IF(AND(K143&gt;=0,K143&lt;3),"1"," "))</f>
        <v>1</v>
      </c>
      <c r="AK143" s="90" t="str">
        <f>IF(OR(L143="Х",L143="св")," ",IF(AND(M143&gt;=0,M143&lt;3),"1"," "))</f>
        <v>1</v>
      </c>
      <c r="AL143" s="90" t="str">
        <f>IF(OR(N143="Х",N143="св")," ",IF(AND(O143&gt;=0,O143&lt;3),"1"," "))</f>
        <v>1</v>
      </c>
      <c r="AM143" s="90" t="str">
        <f>IF(OR(P143="Х",P143="св")," ",IF(AND(Q143&gt;=0,Q143&lt;3),"1"," "))</f>
        <v>1</v>
      </c>
      <c r="AN143" s="90" t="str">
        <f>IF(OR(R143="Х",R143="св")," ",IF(AND(S143&gt;=0,S143&lt;3),"1"," "))</f>
        <v>1</v>
      </c>
      <c r="AO143" s="90" t="str">
        <f>IF(OR(T143="Х",T143="св")," ",IF(AND(U143&gt;=0,U143&lt;3),"1"," "))</f>
        <v>1</v>
      </c>
      <c r="AP143" s="90">
        <f>COUNTIF(AH143:AO144,1)</f>
        <v>8</v>
      </c>
      <c r="AQ143" s="90">
        <f>AG143-AC143</f>
        <v>80</v>
      </c>
      <c r="AR143" s="144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0" t="str">
        <f>COUNTIF(AG$6:AG$134,"&gt;"&amp;AG$6:AG$134)+1&amp;REPT("-"&amp;COUNTIF(AG$6:AG$134,"&gt;="&amp;AG$6:AG$134),COUNTIF(AG$6:AG$134,AG143)&gt;1)</f>
        <v>1-0</v>
      </c>
      <c r="AT143" s="143" t="str">
        <f t="shared" ref="AT143:AW143" si="74">COUNTIF(AU$6:AU$134,"&gt;"&amp;AU$6:AU$134)+1&amp;REPT("-"&amp;COUNTIF(AU$6:AU$134,"&gt;="&amp;AU$6:AU$134),COUNTIF(AU$6:AU$134,AU143)&gt;1)</f>
        <v>1-0</v>
      </c>
      <c r="AU143" s="143" t="str">
        <f t="shared" si="74"/>
        <v>1-0</v>
      </c>
      <c r="AV143" s="143" t="str">
        <f t="shared" si="74"/>
        <v>1</v>
      </c>
      <c r="AW143" s="143" t="str">
        <f t="shared" si="74"/>
        <v>1</v>
      </c>
      <c r="AX143" s="145">
        <f>IF(X143="Х","Х",IF(Y143&lt;3,B143,"Х"))</f>
        <v>69</v>
      </c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>
        <v>69.0</v>
      </c>
      <c r="BN143" s="49"/>
      <c r="BO143" s="153" t="str">
        <f>IF(BM143&lt;BN143,BM143,"")</f>
        <v/>
      </c>
      <c r="BP143" s="49" t="s">
        <v>195</v>
      </c>
      <c r="BQ143" s="49"/>
      <c r="BR143" s="50" t="s">
        <v>195</v>
      </c>
      <c r="BS143" s="49"/>
      <c r="BT143" s="175" t="str">
        <f>IF(BR143&lt;BS143,BR143,"")</f>
        <v/>
      </c>
      <c r="BU143" s="49" t="s">
        <v>195</v>
      </c>
      <c r="BV143" s="49"/>
      <c r="BW143" s="49">
        <v>69.0</v>
      </c>
      <c r="BX143" s="49" t="s">
        <v>194</v>
      </c>
      <c r="BY143" s="160">
        <f t="array" ref="BY143">IF(BW143&lt;BX143,BW143,"")</f>
        <v>69</v>
      </c>
      <c r="BZ143" s="160">
        <f t="shared" si="17"/>
        <v>69</v>
      </c>
      <c r="CA143" s="49"/>
      <c r="CB143" s="74" t="str">
        <f t="shared" si="18"/>
        <v>св</v>
      </c>
      <c r="CC143" s="49"/>
      <c r="CD143" s="49"/>
      <c r="CE143" s="49">
        <v>69.0</v>
      </c>
      <c r="CF143" s="49" t="s">
        <v>194</v>
      </c>
      <c r="CG143" s="153">
        <f t="array" ref="CG143">IF(CE143&lt;CF143,CE143,"")</f>
        <v>69</v>
      </c>
      <c r="CH143" s="49">
        <v>69.0</v>
      </c>
      <c r="CI143" s="49"/>
      <c r="CJ143" s="49">
        <v>69.0</v>
      </c>
      <c r="CK143" s="49" t="s">
        <v>194</v>
      </c>
      <c r="CL143" s="153">
        <f t="array" ref="CL143">IF(CJ143&lt;CK143,CJ143,"")</f>
        <v>69</v>
      </c>
      <c r="CM143" s="49">
        <v>69.0</v>
      </c>
      <c r="CN143" s="49"/>
      <c r="CO143" s="49">
        <v>69.0</v>
      </c>
      <c r="CP143" s="49" t="s">
        <v>194</v>
      </c>
      <c r="CQ143" s="153">
        <f t="array" ref="CQ143">IF(CO143&lt;CP143,CO143,"")</f>
        <v>69</v>
      </c>
      <c r="CR143" s="49">
        <v>69.0</v>
      </c>
      <c r="CS143" s="49"/>
      <c r="CT143" s="49">
        <v>69.0</v>
      </c>
      <c r="CU143" s="49" t="s">
        <v>194</v>
      </c>
      <c r="CV143" s="153">
        <f t="array" ref="CV143">IF(CT143&lt;CU143,CT143,"")</f>
        <v>69</v>
      </c>
      <c r="CW143" s="49">
        <v>69.0</v>
      </c>
      <c r="CX143" s="49"/>
      <c r="CY143" s="49">
        <v>69.0</v>
      </c>
      <c r="CZ143" s="49" t="s">
        <v>194</v>
      </c>
      <c r="DA143" s="153">
        <f t="array" ref="DA143">IF(CY143&lt;CZ143,CY143,"")</f>
        <v>69</v>
      </c>
      <c r="DB143" s="49">
        <v>69.0</v>
      </c>
      <c r="DC143" s="49"/>
      <c r="DD143" s="49">
        <v>69.0</v>
      </c>
      <c r="DE143" s="49"/>
      <c r="DF143" s="49"/>
      <c r="DG143" s="49"/>
      <c r="DH143" s="49"/>
    </row>
    <row r="144" ht="13.5" hidden="1" customHeight="1">
      <c r="A144" s="264"/>
      <c r="B144" s="165"/>
      <c r="C144" s="165"/>
      <c r="D144" s="165"/>
      <c r="E144" s="165"/>
      <c r="F144" s="166"/>
      <c r="G144" s="167"/>
      <c r="H144" s="168"/>
      <c r="I144" s="167"/>
      <c r="J144" s="168"/>
      <c r="K144" s="167"/>
      <c r="L144" s="168"/>
      <c r="M144" s="167"/>
      <c r="N144" s="168"/>
      <c r="O144" s="167"/>
      <c r="P144" s="168"/>
      <c r="Q144" s="167"/>
      <c r="R144" s="168"/>
      <c r="S144" s="167"/>
      <c r="T144" s="168"/>
      <c r="U144" s="169"/>
      <c r="V144" s="168"/>
      <c r="W144" s="169"/>
      <c r="X144" s="168"/>
      <c r="Y144" s="167"/>
      <c r="Z144" s="168"/>
      <c r="AA144" s="167"/>
      <c r="AB144" s="166"/>
      <c r="AC144" s="165"/>
      <c r="AD144" s="168"/>
      <c r="AE144" s="170"/>
      <c r="AF144" s="171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 t="s">
        <v>195</v>
      </c>
      <c r="BN144" s="49"/>
      <c r="BO144" s="175" t="str">
        <f>IF(BO143="","",BN143)</f>
        <v/>
      </c>
      <c r="BP144" s="49" t="s">
        <v>195</v>
      </c>
      <c r="BQ144" s="49"/>
      <c r="BR144" s="50" t="s">
        <v>195</v>
      </c>
      <c r="BS144" s="49"/>
      <c r="BT144" s="175" t="str">
        <f>IF(BT143="","",BS143)</f>
        <v/>
      </c>
      <c r="BU144" s="49" t="s">
        <v>195</v>
      </c>
      <c r="BV144" s="49"/>
      <c r="BW144" s="49" t="s">
        <v>195</v>
      </c>
      <c r="BX144" s="49"/>
      <c r="BY144" s="160" t="str">
        <f>IF(BY143="","",BX143)</f>
        <v> </v>
      </c>
      <c r="BZ144" s="260" t="str">
        <f t="shared" si="17"/>
        <v> </v>
      </c>
      <c r="CA144" s="49"/>
      <c r="CB144" s="262" t="str">
        <f t="shared" si="18"/>
        <v>св</v>
      </c>
      <c r="CC144" s="49"/>
      <c r="CD144" s="49"/>
      <c r="CE144" s="49" t="s">
        <v>195</v>
      </c>
      <c r="CF144" s="49"/>
      <c r="CG144" s="180" t="str">
        <f>IF(CG143="","",CF143)</f>
        <v> </v>
      </c>
      <c r="CH144" s="49" t="s">
        <v>194</v>
      </c>
      <c r="CI144" s="49"/>
      <c r="CJ144" s="49" t="s">
        <v>195</v>
      </c>
      <c r="CK144" s="49"/>
      <c r="CL144" s="180" t="str">
        <f>IF(CL143="","",CK143)</f>
        <v> </v>
      </c>
      <c r="CM144" s="49" t="s">
        <v>194</v>
      </c>
      <c r="CN144" s="49"/>
      <c r="CO144" s="49" t="s">
        <v>195</v>
      </c>
      <c r="CP144" s="49"/>
      <c r="CQ144" s="180" t="str">
        <f>IF(CQ143="","",CP143)</f>
        <v> </v>
      </c>
      <c r="CR144" s="49" t="s">
        <v>194</v>
      </c>
      <c r="CS144" s="49"/>
      <c r="CT144" s="49" t="s">
        <v>195</v>
      </c>
      <c r="CU144" s="49"/>
      <c r="CV144" s="180" t="str">
        <f>IF(CV143="","",CU143)</f>
        <v> </v>
      </c>
      <c r="CW144" s="49" t="s">
        <v>194</v>
      </c>
      <c r="CX144" s="49"/>
      <c r="CY144" s="49" t="s">
        <v>195</v>
      </c>
      <c r="CZ144" s="49"/>
      <c r="DA144" s="180" t="str">
        <f>IF(DA143="","",CZ143)</f>
        <v> </v>
      </c>
      <c r="DB144" s="49" t="s">
        <v>194</v>
      </c>
      <c r="DC144" s="49"/>
      <c r="DD144" s="49" t="s">
        <v>195</v>
      </c>
      <c r="DE144" s="49"/>
      <c r="DF144" s="49"/>
      <c r="DG144" s="49"/>
      <c r="DH144" s="49"/>
    </row>
    <row r="145" ht="13.5" hidden="1" customHeight="1">
      <c r="A145" s="264"/>
      <c r="B145" s="126">
        <v>70.0</v>
      </c>
      <c r="C145" s="188" t="str">
        <f>(VLOOKUP($B145,'Пр.взв'!$D$6:$J$63,2,0))</f>
        <v>#N/A</v>
      </c>
      <c r="D145" s="189" t="str">
        <f>(VLOOKUP($B145,'Пр.взв'!$D$6:$J$63,5,0))</f>
        <v>#N/A</v>
      </c>
      <c r="E145" s="190" t="str">
        <f>(VLOOKUP($B145,'Пр.взв'!$D$6:$M$63,8,0))</f>
        <v>#N/A</v>
      </c>
      <c r="F145" s="130"/>
      <c r="G145" s="134"/>
      <c r="H145" s="132"/>
      <c r="I145" s="134"/>
      <c r="J145" s="133" t="str">
        <f>IF(H145="Х","Х",IF($AC145&lt;6," ","Х"))</f>
        <v> </v>
      </c>
      <c r="K145" s="134"/>
      <c r="L145" s="133" t="str">
        <f>IF(J145="Х","Х",IF(K145&lt;3," ",IF($AC145&lt;6," ","Х")))</f>
        <v> </v>
      </c>
      <c r="M145" s="134"/>
      <c r="N145" s="133" t="str">
        <f>IF(L145="Х","Х",IF(M145&lt;3," ",IF($AC145&lt;6," ","Х")))</f>
        <v> </v>
      </c>
      <c r="O145" s="134"/>
      <c r="P145" s="133" t="str">
        <f>IF(N145="Х","Х",IF(O145&lt;3," ",IF($AC145&lt;6," ","Х")))</f>
        <v> </v>
      </c>
      <c r="Q145" s="134"/>
      <c r="R145" s="133" t="str">
        <f>IF(P145="Х","Х",IF(Q145&lt;3," ",IF($AC145&lt;6," ","Х")))</f>
        <v> </v>
      </c>
      <c r="S145" s="134"/>
      <c r="T145" s="133" t="str">
        <f>IF(R145="Х","Х",IF(S145&lt;3," ",IF($AC145&lt;6," ","Х")))</f>
        <v> </v>
      </c>
      <c r="U145" s="135"/>
      <c r="V145" s="133" t="str">
        <f>IF(T145="Х","Х",IF(U145&lt;3," ",IF($AC145&lt;6," ","Х")))</f>
        <v> </v>
      </c>
      <c r="W145" s="135"/>
      <c r="X145" s="133" t="str">
        <f>IF(V145="А1",$AZ$7,IF(V145="Б2",$AZ$6,IF(V145="Б1",$BA$7,IF(V145="А2",$BA$6,IF(V145="Х","Х",IF(V145&lt;6," "," "))))))</f>
        <v> </v>
      </c>
      <c r="Y145" s="136"/>
      <c r="Z145" s="133" t="str">
        <f>IF(V145="Х","Х",IF(ISBLANK(Y145),"",IF(Y145&gt;2.5," ",IF(B145=BB$6,BB$7,BB$6))))</f>
        <v/>
      </c>
      <c r="AA145" s="136"/>
      <c r="AB145" s="240" t="str">
        <f>IF(H145="Х",F$5,IF(J145="Х",H$5,IF(L145="Х",J$5,IF(N145="Х",L$5,IF(P145="Х",N$5,IF(R145="Х",P$5,IF(T145="Х",R$5,IF(X145="Х",T$5,""))))))))</f>
        <v/>
      </c>
      <c r="AC145" s="138">
        <f>SUM(G145+I145+K145+M145+O145+Q145+S145+U145+Y145+AA145)</f>
        <v>0</v>
      </c>
      <c r="AD145" s="241" t="str">
        <f>AF145</f>
        <v>25-71</v>
      </c>
      <c r="AE145" s="140" t="str">
        <f>AD145</f>
        <v>25-71</v>
      </c>
      <c r="AF145" s="141" t="str">
        <f>COUNTIF(AG$6:AG$148,"&gt;"&amp;AG$6:AG$148)+1&amp;REPT("-"&amp;COUNTIF(AG$6:AG$148,"&gt;="&amp;AG$6:AG$148),COUNTIF(AG$6:AG$148,AG145)&gt;1)</f>
        <v>25-71</v>
      </c>
      <c r="AG145" s="142">
        <f>(AR145*100)+(AP145*10)-AC145</f>
        <v>80</v>
      </c>
      <c r="AH145" s="143" t="str">
        <f>IF(OR(F145="Х",F145="св")," ",IF(AND(G145&gt;=0,G145&lt;3),"1"," "))</f>
        <v>1</v>
      </c>
      <c r="AI145" s="90" t="str">
        <f>IF(OR(H145="Х",H145="св")," ",IF(AND(I145&gt;=0,I145&lt;3),"1"," "))</f>
        <v>1</v>
      </c>
      <c r="AJ145" s="90" t="str">
        <f>IF(OR(J145="Х",J145="св")," ",IF(AND(K145&gt;=0,K145&lt;3),"1"," "))</f>
        <v>1</v>
      </c>
      <c r="AK145" s="90" t="str">
        <f>IF(OR(L145="Х",L145="св")," ",IF(AND(M145&gt;=0,M145&lt;3),"1"," "))</f>
        <v>1</v>
      </c>
      <c r="AL145" s="90" t="str">
        <f>IF(OR(N145="Х",N145="св")," ",IF(AND(O145&gt;=0,O145&lt;3),"1"," "))</f>
        <v>1</v>
      </c>
      <c r="AM145" s="90" t="str">
        <f>IF(OR(P145="Х",P145="св")," ",IF(AND(Q145&gt;=0,Q145&lt;3),"1"," "))</f>
        <v>1</v>
      </c>
      <c r="AN145" s="90" t="str">
        <f>IF(OR(R145="Х",R145="св")," ",IF(AND(S145&gt;=0,S145&lt;3),"1"," "))</f>
        <v>1</v>
      </c>
      <c r="AO145" s="90" t="str">
        <f>IF(OR(T145="Х",T145="св")," ",IF(AND(U145&gt;=0,U145&lt;3),"1"," "))</f>
        <v>1</v>
      </c>
      <c r="AP145" s="90">
        <f>COUNTIF(AH145:AO146,1)</f>
        <v>8</v>
      </c>
      <c r="AQ145" s="90">
        <f>AG145-AC145</f>
        <v>80</v>
      </c>
      <c r="AR145" s="144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0" t="str">
        <f>COUNTIF(AG$6:AG$134,"&gt;"&amp;AG$6:AG$134)+1&amp;REPT("-"&amp;COUNTIF(AG$6:AG$134,"&gt;="&amp;AG$6:AG$134),COUNTIF(AG$6:AG$134,AG145)&gt;1)</f>
        <v>1-0</v>
      </c>
      <c r="AT145" s="143" t="str">
        <f t="shared" ref="AT145:AW145" si="75">COUNTIF(AU$6:AU$134,"&gt;"&amp;AU$6:AU$134)+1&amp;REPT("-"&amp;COUNTIF(AU$6:AU$134,"&gt;="&amp;AU$6:AU$134),COUNTIF(AU$6:AU$134,AU145)&gt;1)</f>
        <v>1-0</v>
      </c>
      <c r="AU145" s="143" t="str">
        <f t="shared" si="75"/>
        <v>1-0</v>
      </c>
      <c r="AV145" s="143" t="str">
        <f t="shared" si="75"/>
        <v>1</v>
      </c>
      <c r="AW145" s="143" t="str">
        <f t="shared" si="75"/>
        <v>1</v>
      </c>
      <c r="AX145" s="145">
        <f>IF(X145="Х","Х",IF(Y145&lt;3,B145,"Х"))</f>
        <v>70</v>
      </c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50">
        <v>70.0</v>
      </c>
      <c r="BN145" s="49"/>
      <c r="BO145" s="153" t="str">
        <f>IF(BM145&lt;BN145,BM145,"")</f>
        <v/>
      </c>
      <c r="BP145" s="49" t="s">
        <v>195</v>
      </c>
      <c r="BQ145" s="49"/>
      <c r="BR145" s="50" t="s">
        <v>195</v>
      </c>
      <c r="BS145" s="49"/>
      <c r="BT145" s="175" t="str">
        <f>IF(BR145&lt;BS145,BR145,"")</f>
        <v/>
      </c>
      <c r="BU145" s="49" t="s">
        <v>195</v>
      </c>
      <c r="BV145" s="49"/>
      <c r="BW145" s="49">
        <v>70.0</v>
      </c>
      <c r="BX145" s="49" t="s">
        <v>194</v>
      </c>
      <c r="BY145" s="160">
        <f t="array" ref="BY145">IF(BW145&lt;BX145,BW145,"")</f>
        <v>70</v>
      </c>
      <c r="BZ145" s="160">
        <f t="shared" si="17"/>
        <v>70</v>
      </c>
      <c r="CA145" s="49"/>
      <c r="CB145" s="74" t="str">
        <f t="shared" si="18"/>
        <v>св</v>
      </c>
      <c r="CC145" s="49"/>
      <c r="CD145" s="49"/>
      <c r="CE145" s="49">
        <v>70.0</v>
      </c>
      <c r="CF145" s="49" t="s">
        <v>194</v>
      </c>
      <c r="CG145" s="153">
        <f t="array" ref="CG145">IF(CE145&lt;CF145,CE145,"")</f>
        <v>70</v>
      </c>
      <c r="CH145" s="49">
        <v>70.0</v>
      </c>
      <c r="CI145" s="49"/>
      <c r="CJ145" s="49">
        <v>70.0</v>
      </c>
      <c r="CK145" s="49" t="s">
        <v>194</v>
      </c>
      <c r="CL145" s="153">
        <f t="array" ref="CL145">IF(CJ145&lt;CK145,CJ145,"")</f>
        <v>70</v>
      </c>
      <c r="CM145" s="49">
        <v>70.0</v>
      </c>
      <c r="CN145" s="49"/>
      <c r="CO145" s="49">
        <v>70.0</v>
      </c>
      <c r="CP145" s="49" t="s">
        <v>194</v>
      </c>
      <c r="CQ145" s="153">
        <f t="array" ref="CQ145">IF(CO145&lt;CP145,CO145,"")</f>
        <v>70</v>
      </c>
      <c r="CR145" s="49">
        <v>70.0</v>
      </c>
      <c r="CS145" s="49"/>
      <c r="CT145" s="49">
        <v>70.0</v>
      </c>
      <c r="CU145" s="49" t="s">
        <v>194</v>
      </c>
      <c r="CV145" s="153">
        <f t="array" ref="CV145">IF(CT145&lt;CU145,CT145,"")</f>
        <v>70</v>
      </c>
      <c r="CW145" s="49">
        <v>70.0</v>
      </c>
      <c r="CX145" s="49"/>
      <c r="CY145" s="49">
        <v>70.0</v>
      </c>
      <c r="CZ145" s="49" t="s">
        <v>194</v>
      </c>
      <c r="DA145" s="153">
        <f t="array" ref="DA145">IF(CY145&lt;CZ145,CY145,"")</f>
        <v>70</v>
      </c>
      <c r="DB145" s="49">
        <v>70.0</v>
      </c>
      <c r="DC145" s="49"/>
      <c r="DD145" s="49">
        <v>70.0</v>
      </c>
      <c r="DE145" s="49"/>
      <c r="DF145" s="49"/>
      <c r="DG145" s="49"/>
      <c r="DH145" s="49"/>
    </row>
    <row r="146" ht="13.5" hidden="1" customHeight="1">
      <c r="A146" s="264"/>
      <c r="B146" s="165"/>
      <c r="C146" s="165"/>
      <c r="D146" s="165"/>
      <c r="E146" s="165"/>
      <c r="F146" s="166"/>
      <c r="G146" s="167"/>
      <c r="H146" s="168"/>
      <c r="I146" s="167"/>
      <c r="J146" s="168"/>
      <c r="K146" s="167"/>
      <c r="L146" s="168"/>
      <c r="M146" s="167"/>
      <c r="N146" s="168"/>
      <c r="O146" s="167"/>
      <c r="P146" s="168"/>
      <c r="Q146" s="167"/>
      <c r="R146" s="168"/>
      <c r="S146" s="167"/>
      <c r="T146" s="168"/>
      <c r="U146" s="169"/>
      <c r="V146" s="168"/>
      <c r="W146" s="169"/>
      <c r="X146" s="168"/>
      <c r="Y146" s="167"/>
      <c r="Z146" s="168"/>
      <c r="AA146" s="167"/>
      <c r="AB146" s="166"/>
      <c r="AC146" s="165"/>
      <c r="AD146" s="168"/>
      <c r="AE146" s="170"/>
      <c r="AF146" s="171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50" t="s">
        <v>195</v>
      </c>
      <c r="BN146" s="49"/>
      <c r="BO146" s="175" t="str">
        <f>IF(BO145="","",BN145)</f>
        <v/>
      </c>
      <c r="BP146" s="49" t="s">
        <v>195</v>
      </c>
      <c r="BQ146" s="49"/>
      <c r="BR146" s="50" t="s">
        <v>195</v>
      </c>
      <c r="BS146" s="49"/>
      <c r="BT146" s="175" t="str">
        <f>IF(BT145="","",BS145)</f>
        <v/>
      </c>
      <c r="BU146" s="49" t="s">
        <v>195</v>
      </c>
      <c r="BV146" s="49"/>
      <c r="BW146" s="49" t="s">
        <v>195</v>
      </c>
      <c r="BX146" s="49"/>
      <c r="BY146" s="160" t="str">
        <f>IF(BY145="","",BX145)</f>
        <v> </v>
      </c>
      <c r="BZ146" s="260" t="str">
        <f t="shared" si="17"/>
        <v> </v>
      </c>
      <c r="CA146" s="49"/>
      <c r="CB146" s="262" t="str">
        <f t="shared" si="18"/>
        <v>св</v>
      </c>
      <c r="CC146" s="49"/>
      <c r="CD146" s="49"/>
      <c r="CE146" s="49" t="s">
        <v>195</v>
      </c>
      <c r="CF146" s="49"/>
      <c r="CG146" s="180" t="str">
        <f>IF(CG145="","",CF145)</f>
        <v> </v>
      </c>
      <c r="CH146" s="49" t="s">
        <v>194</v>
      </c>
      <c r="CI146" s="49"/>
      <c r="CJ146" s="49" t="s">
        <v>195</v>
      </c>
      <c r="CK146" s="49"/>
      <c r="CL146" s="180" t="str">
        <f>IF(CL145="","",CK145)</f>
        <v> </v>
      </c>
      <c r="CM146" s="49" t="s">
        <v>194</v>
      </c>
      <c r="CN146" s="49"/>
      <c r="CO146" s="49" t="s">
        <v>195</v>
      </c>
      <c r="CP146" s="49"/>
      <c r="CQ146" s="180" t="str">
        <f>IF(CQ145="","",CP145)</f>
        <v> </v>
      </c>
      <c r="CR146" s="49" t="s">
        <v>194</v>
      </c>
      <c r="CS146" s="49"/>
      <c r="CT146" s="49" t="s">
        <v>195</v>
      </c>
      <c r="CU146" s="49"/>
      <c r="CV146" s="180" t="str">
        <f>IF(CV145="","",CU145)</f>
        <v> </v>
      </c>
      <c r="CW146" s="49" t="s">
        <v>194</v>
      </c>
      <c r="CX146" s="49"/>
      <c r="CY146" s="49" t="s">
        <v>195</v>
      </c>
      <c r="CZ146" s="49"/>
      <c r="DA146" s="180" t="str">
        <f>IF(DA145="","",CZ145)</f>
        <v> </v>
      </c>
      <c r="DB146" s="49" t="s">
        <v>194</v>
      </c>
      <c r="DC146" s="49"/>
      <c r="DD146" s="49" t="s">
        <v>195</v>
      </c>
      <c r="DE146" s="49"/>
      <c r="DF146" s="49"/>
      <c r="DG146" s="49"/>
      <c r="DH146" s="49"/>
    </row>
    <row r="147" ht="13.5" hidden="1" customHeight="1">
      <c r="A147" s="264"/>
      <c r="B147" s="126">
        <v>71.0</v>
      </c>
      <c r="C147" s="188" t="str">
        <f>(VLOOKUP($B147,'Пр.взв'!$D$6:$J$63,2,0))</f>
        <v>#N/A</v>
      </c>
      <c r="D147" s="189" t="str">
        <f>(VLOOKUP($B147,'Пр.взв'!$D$6:$J$63,5,0))</f>
        <v>#N/A</v>
      </c>
      <c r="E147" s="190" t="str">
        <f>(VLOOKUP($B147,'Пр.взв'!$D$6:$M$63,8,0))</f>
        <v>#N/A</v>
      </c>
      <c r="F147" s="130"/>
      <c r="G147" s="134"/>
      <c r="H147" s="132"/>
      <c r="I147" s="134"/>
      <c r="J147" s="133" t="str">
        <f>IF(H147="Х","Х",IF($AC147&lt;6," ","Х"))</f>
        <v> </v>
      </c>
      <c r="K147" s="134"/>
      <c r="L147" s="133" t="str">
        <f>IF(J147="Х","Х",IF(K147&lt;3," ",IF($AC147&lt;6," ","Х")))</f>
        <v> </v>
      </c>
      <c r="M147" s="134"/>
      <c r="N147" s="133" t="str">
        <f>IF(L147="Х","Х",IF(M147&lt;3," ",IF($AC147&lt;6," ","Х")))</f>
        <v> </v>
      </c>
      <c r="O147" s="134"/>
      <c r="P147" s="133" t="str">
        <f>IF(N147="Х","Х",IF(O147&lt;3," ",IF($AC147&lt;6," ","Х")))</f>
        <v> </v>
      </c>
      <c r="Q147" s="134"/>
      <c r="R147" s="133" t="str">
        <f>IF(P147="Х","Х",IF(Q147&lt;3," ",IF($AC147&lt;6," ","Х")))</f>
        <v> </v>
      </c>
      <c r="S147" s="134"/>
      <c r="T147" s="133" t="str">
        <f>IF(R147="Х","Х",IF(S147&lt;3," ",IF($AC147&lt;6," ","Х")))</f>
        <v> </v>
      </c>
      <c r="U147" s="135"/>
      <c r="V147" s="133" t="str">
        <f>IF(T147="Х","Х",IF(U147&lt;3," ",IF($AC147&lt;6," ","Х")))</f>
        <v> </v>
      </c>
      <c r="W147" s="135"/>
      <c r="X147" s="133" t="str">
        <f>IF(V147="А1",$AZ$7,IF(V147="Б2",$AZ$6,IF(V147="Б1",$BA$7,IF(V147="А2",$BA$6,IF(V147="Х","Х",IF(V147&lt;6," "," "))))))</f>
        <v> </v>
      </c>
      <c r="Y147" s="136"/>
      <c r="Z147" s="133" t="str">
        <f>IF(V147="Х","Х",IF(ISBLANK(Y147),"",IF(Y147&gt;2.5," ",IF(B147=BB$6,BB$7,BB$6))))</f>
        <v/>
      </c>
      <c r="AA147" s="136"/>
      <c r="AB147" s="240" t="str">
        <f>IF(H147="Х",F$5,IF(J147="Х",H$5,IF(L147="Х",J$5,IF(N147="Х",L$5,IF(P147="Х",N$5,IF(R147="Х",P$5,IF(T147="Х",R$5,IF(X147="Х",T$5,""))))))))</f>
        <v/>
      </c>
      <c r="AC147" s="138">
        <f>SUM(G147+I147+K147+M147+O147+Q147+S147+U147+Y147+AA147)</f>
        <v>0</v>
      </c>
      <c r="AD147" s="241" t="str">
        <f>AF147</f>
        <v>25-71</v>
      </c>
      <c r="AE147" s="140" t="str">
        <f>AD147</f>
        <v>25-71</v>
      </c>
      <c r="AF147" s="141" t="str">
        <f>COUNTIF(AG$6:AG$148,"&gt;"&amp;AG$6:AG$148)+1&amp;REPT("-"&amp;COUNTIF(AG$6:AG$148,"&gt;="&amp;AG$6:AG$148),COUNTIF(AG$6:AG$148,AG147)&gt;1)</f>
        <v>25-71</v>
      </c>
      <c r="AG147" s="142">
        <f>(AR147*100)+(AP147*10)-AC147</f>
        <v>80</v>
      </c>
      <c r="AH147" s="143" t="str">
        <f>IF(OR(F147="Х",F147="св")," ",IF(AND(G147&gt;=0,G147&lt;3),"1"," "))</f>
        <v>1</v>
      </c>
      <c r="AI147" s="90" t="str">
        <f>IF(OR(H147="Х",H147="св")," ",IF(AND(I147&gt;=0,I147&lt;3),"1"," "))</f>
        <v>1</v>
      </c>
      <c r="AJ147" s="90" t="str">
        <f>IF(OR(J147="Х",J147="св")," ",IF(AND(K147&gt;=0,K147&lt;3),"1"," "))</f>
        <v>1</v>
      </c>
      <c r="AK147" s="90" t="str">
        <f>IF(OR(L147="Х",L147="св")," ",IF(AND(M147&gt;=0,M147&lt;3),"1"," "))</f>
        <v>1</v>
      </c>
      <c r="AL147" s="90" t="str">
        <f>IF(OR(N147="Х",N147="св")," ",IF(AND(O147&gt;=0,O147&lt;3),"1"," "))</f>
        <v>1</v>
      </c>
      <c r="AM147" s="90" t="str">
        <f>IF(OR(P147="Х",P147="св")," ",IF(AND(Q147&gt;=0,Q147&lt;3),"1"," "))</f>
        <v>1</v>
      </c>
      <c r="AN147" s="90" t="str">
        <f>IF(OR(R147="Х",R147="св")," ",IF(AND(S147&gt;=0,S147&lt;3),"1"," "))</f>
        <v>1</v>
      </c>
      <c r="AO147" s="90" t="str">
        <f>IF(OR(T147="Х",T147="св")," ",IF(AND(U147&gt;=0,U147&lt;3),"1"," "))</f>
        <v>1</v>
      </c>
      <c r="AP147" s="90">
        <f>COUNTIF(AH147:AO148,1)</f>
        <v>8</v>
      </c>
      <c r="AQ147" s="90">
        <f>AG147-AC147</f>
        <v>80</v>
      </c>
      <c r="AR147" s="144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0" t="str">
        <f>COUNTIF(AG$6:AG$134,"&gt;"&amp;AG$6:AG$134)+1&amp;REPT("-"&amp;COUNTIF(AG$6:AG$134,"&gt;="&amp;AG$6:AG$134),COUNTIF(AG$6:AG$134,AG147)&gt;1)</f>
        <v>1-0</v>
      </c>
      <c r="AT147" s="143" t="str">
        <f t="shared" ref="AT147:AW147" si="76">COUNTIF(AU$6:AU$134,"&gt;"&amp;AU$6:AU$134)+1&amp;REPT("-"&amp;COUNTIF(AU$6:AU$134,"&gt;="&amp;AU$6:AU$134),COUNTIF(AU$6:AU$134,AU147)&gt;1)</f>
        <v>1-0</v>
      </c>
      <c r="AU147" s="143" t="str">
        <f t="shared" si="76"/>
        <v>1-0</v>
      </c>
      <c r="AV147" s="143" t="str">
        <f t="shared" si="76"/>
        <v>1</v>
      </c>
      <c r="AW147" s="143" t="str">
        <f t="shared" si="76"/>
        <v>1</v>
      </c>
      <c r="AX147" s="145">
        <f>IF(X147="Х","Х",IF(Y147&lt;3,B147,"Х"))</f>
        <v>71</v>
      </c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50">
        <v>71.0</v>
      </c>
      <c r="BN147" s="49"/>
      <c r="BO147" s="153" t="str">
        <f>IF(BM147&lt;BN147,BM147,"")</f>
        <v/>
      </c>
      <c r="BP147" s="49" t="s">
        <v>195</v>
      </c>
      <c r="BQ147" s="49"/>
      <c r="BR147" s="50" t="s">
        <v>195</v>
      </c>
      <c r="BS147" s="49"/>
      <c r="BT147" s="175" t="str">
        <f>IF(BR147&lt;BS147,BR147,"")</f>
        <v/>
      </c>
      <c r="BU147" s="49" t="s">
        <v>195</v>
      </c>
      <c r="BV147" s="49"/>
      <c r="BW147" s="49">
        <v>71.0</v>
      </c>
      <c r="BX147" s="49" t="s">
        <v>194</v>
      </c>
      <c r="BY147" s="160">
        <f t="array" ref="BY147">IF(BW147&lt;BX147,BW147,"")</f>
        <v>71</v>
      </c>
      <c r="BZ147" s="160">
        <f t="shared" si="17"/>
        <v>71</v>
      </c>
      <c r="CA147" s="49"/>
      <c r="CB147" s="74" t="str">
        <f t="shared" si="18"/>
        <v>св</v>
      </c>
      <c r="CC147" s="49"/>
      <c r="CD147" s="49"/>
      <c r="CE147" s="49">
        <v>71.0</v>
      </c>
      <c r="CF147" s="49" t="s">
        <v>194</v>
      </c>
      <c r="CG147" s="153">
        <f t="array" ref="CG147">IF(CE147&lt;CF147,CE147,"")</f>
        <v>71</v>
      </c>
      <c r="CH147" s="49">
        <v>71.0</v>
      </c>
      <c r="CI147" s="49"/>
      <c r="CJ147" s="49">
        <v>71.0</v>
      </c>
      <c r="CK147" s="49" t="s">
        <v>194</v>
      </c>
      <c r="CL147" s="153">
        <f t="array" ref="CL147">IF(CJ147&lt;CK147,CJ147,"")</f>
        <v>71</v>
      </c>
      <c r="CM147" s="49">
        <v>71.0</v>
      </c>
      <c r="CN147" s="49"/>
      <c r="CO147" s="49">
        <v>71.0</v>
      </c>
      <c r="CP147" s="49" t="s">
        <v>194</v>
      </c>
      <c r="CQ147" s="153">
        <f t="array" ref="CQ147">IF(CO147&lt;CP147,CO147,"")</f>
        <v>71</v>
      </c>
      <c r="CR147" s="49">
        <v>71.0</v>
      </c>
      <c r="CS147" s="49"/>
      <c r="CT147" s="49">
        <v>71.0</v>
      </c>
      <c r="CU147" s="49" t="s">
        <v>194</v>
      </c>
      <c r="CV147" s="153">
        <f t="array" ref="CV147">IF(CT147&lt;CU147,CT147,"")</f>
        <v>71</v>
      </c>
      <c r="CW147" s="49">
        <v>71.0</v>
      </c>
      <c r="CX147" s="49"/>
      <c r="CY147" s="49">
        <v>71.0</v>
      </c>
      <c r="CZ147" s="49" t="s">
        <v>194</v>
      </c>
      <c r="DA147" s="153">
        <f t="array" ref="DA147">IF(CY147&lt;CZ147,CY147,"")</f>
        <v>71</v>
      </c>
      <c r="DB147" s="49">
        <v>71.0</v>
      </c>
      <c r="DC147" s="49"/>
      <c r="DD147" s="49">
        <v>71.0</v>
      </c>
      <c r="DE147" s="49"/>
      <c r="DF147" s="49"/>
      <c r="DG147" s="49"/>
      <c r="DH147" s="49"/>
    </row>
    <row r="148" ht="13.5" hidden="1" customHeight="1">
      <c r="A148" s="264"/>
      <c r="B148" s="165"/>
      <c r="C148" s="165"/>
      <c r="D148" s="165"/>
      <c r="E148" s="165"/>
      <c r="F148" s="166"/>
      <c r="G148" s="167"/>
      <c r="H148" s="168"/>
      <c r="I148" s="167"/>
      <c r="J148" s="168"/>
      <c r="K148" s="167"/>
      <c r="L148" s="168"/>
      <c r="M148" s="167"/>
      <c r="N148" s="168"/>
      <c r="O148" s="167"/>
      <c r="P148" s="168"/>
      <c r="Q148" s="167"/>
      <c r="R148" s="168"/>
      <c r="S148" s="167"/>
      <c r="T148" s="168"/>
      <c r="U148" s="169"/>
      <c r="V148" s="168"/>
      <c r="W148" s="169"/>
      <c r="X148" s="168"/>
      <c r="Y148" s="167"/>
      <c r="Z148" s="168"/>
      <c r="AA148" s="167"/>
      <c r="AB148" s="166"/>
      <c r="AC148" s="165"/>
      <c r="AD148" s="168"/>
      <c r="AE148" s="170"/>
      <c r="AF148" s="171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50" t="s">
        <v>195</v>
      </c>
      <c r="BN148" s="49"/>
      <c r="BO148" s="49"/>
      <c r="BP148" s="49"/>
      <c r="BQ148" s="49"/>
      <c r="BR148" s="50" t="s">
        <v>195</v>
      </c>
      <c r="BS148" s="49"/>
      <c r="BT148" s="49"/>
      <c r="BU148" s="49"/>
      <c r="BV148" s="49"/>
      <c r="BW148" s="49" t="s">
        <v>195</v>
      </c>
      <c r="BX148" s="49"/>
      <c r="CA148" s="49"/>
      <c r="CB148" s="49"/>
      <c r="CC148" s="49"/>
      <c r="CD148" s="49"/>
      <c r="CE148" s="49" t="s">
        <v>195</v>
      </c>
      <c r="CF148" s="49"/>
      <c r="CG148" s="49"/>
      <c r="CH148" s="49"/>
      <c r="CI148" s="49"/>
      <c r="CJ148" s="49" t="s">
        <v>195</v>
      </c>
      <c r="CK148" s="49"/>
      <c r="CL148" s="49"/>
      <c r="CM148" s="49"/>
      <c r="CN148" s="49"/>
      <c r="CO148" s="49" t="s">
        <v>195</v>
      </c>
      <c r="CP148" s="49"/>
      <c r="CQ148" s="49"/>
      <c r="CR148" s="49"/>
      <c r="CS148" s="49"/>
      <c r="CT148" s="49" t="s">
        <v>195</v>
      </c>
      <c r="CU148" s="49"/>
      <c r="CV148" s="49"/>
      <c r="CW148" s="49"/>
      <c r="CX148" s="49"/>
      <c r="CY148" s="49" t="s">
        <v>195</v>
      </c>
      <c r="CZ148" s="49"/>
      <c r="DA148" s="49"/>
      <c r="DB148" s="49"/>
      <c r="DC148" s="49"/>
      <c r="DD148" s="49" t="s">
        <v>195</v>
      </c>
      <c r="DE148" s="49"/>
      <c r="DF148" s="49"/>
      <c r="DG148" s="49"/>
      <c r="DH148" s="49"/>
    </row>
    <row r="149" hidden="1">
      <c r="A149" s="264"/>
      <c r="B149" s="265"/>
      <c r="C149" s="266"/>
      <c r="D149" s="266"/>
      <c r="E149" s="266"/>
      <c r="F149" s="266"/>
      <c r="G149" s="267"/>
      <c r="H149" s="267"/>
      <c r="I149" s="267"/>
      <c r="J149" s="266"/>
      <c r="K149" s="266"/>
      <c r="L149" s="267"/>
      <c r="M149" s="268"/>
      <c r="N149" s="269"/>
      <c r="O149" s="269"/>
      <c r="P149" s="269"/>
      <c r="Q149" s="269"/>
      <c r="R149" s="269"/>
      <c r="S149" s="269"/>
      <c r="T149" s="270"/>
      <c r="U149" s="268"/>
      <c r="V149" s="268"/>
      <c r="W149" s="268"/>
      <c r="X149" s="270"/>
      <c r="Y149" s="271"/>
      <c r="Z149" s="271"/>
      <c r="AA149" s="271"/>
      <c r="AB149" s="271"/>
      <c r="AC149" s="271"/>
      <c r="AD149" s="272"/>
      <c r="AE149" s="45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50" t="s">
        <v>195</v>
      </c>
      <c r="BN149" s="49"/>
      <c r="BO149" s="49"/>
      <c r="BP149" s="49"/>
      <c r="BQ149" s="49"/>
      <c r="BR149" s="50" t="s">
        <v>195</v>
      </c>
      <c r="BS149" s="49"/>
      <c r="BT149" s="49"/>
      <c r="BU149" s="49"/>
      <c r="BV149" s="49"/>
      <c r="BW149" s="49" t="s">
        <v>195</v>
      </c>
      <c r="BX149" s="49"/>
      <c r="CA149" s="49"/>
      <c r="CB149" s="49"/>
      <c r="CC149" s="49"/>
      <c r="CD149" s="49"/>
      <c r="CE149" s="49" t="s">
        <v>195</v>
      </c>
      <c r="CF149" s="49"/>
      <c r="CG149" s="49"/>
      <c r="CH149" s="49"/>
      <c r="CI149" s="49"/>
      <c r="CJ149" s="49" t="s">
        <v>195</v>
      </c>
      <c r="CK149" s="49"/>
      <c r="CL149" s="49"/>
      <c r="CM149" s="49"/>
      <c r="CN149" s="49"/>
      <c r="CO149" s="49" t="s">
        <v>195</v>
      </c>
      <c r="CP149" s="49"/>
      <c r="CQ149" s="49"/>
      <c r="CR149" s="49"/>
      <c r="CS149" s="49"/>
      <c r="CT149" s="49" t="s">
        <v>195</v>
      </c>
      <c r="CU149" s="49"/>
      <c r="CV149" s="49"/>
      <c r="CW149" s="49"/>
      <c r="CX149" s="49"/>
      <c r="CY149" s="49" t="s">
        <v>195</v>
      </c>
      <c r="CZ149" s="49"/>
      <c r="DA149" s="49"/>
      <c r="DB149" s="49"/>
      <c r="DC149" s="49"/>
      <c r="DD149" s="49" t="s">
        <v>195</v>
      </c>
      <c r="DE149" s="49"/>
      <c r="DF149" s="49"/>
      <c r="DG149" s="49"/>
      <c r="DH149" s="49"/>
    </row>
    <row r="150" hidden="1">
      <c r="A150" s="264"/>
      <c r="B150" s="265"/>
      <c r="C150" s="266"/>
      <c r="D150" s="266"/>
      <c r="E150" s="266"/>
      <c r="F150" s="266"/>
      <c r="G150" s="267"/>
      <c r="H150" s="267"/>
      <c r="I150" s="267"/>
      <c r="J150" s="266"/>
      <c r="K150" s="266"/>
      <c r="L150" s="267"/>
      <c r="M150" s="268"/>
      <c r="N150" s="269"/>
      <c r="O150" s="269"/>
      <c r="P150" s="269"/>
      <c r="Q150" s="269"/>
      <c r="R150" s="269"/>
      <c r="S150" s="269"/>
      <c r="T150" s="270"/>
      <c r="U150" s="268"/>
      <c r="V150" s="268"/>
      <c r="W150" s="268"/>
      <c r="X150" s="270"/>
      <c r="Y150" s="271"/>
      <c r="Z150" s="271"/>
      <c r="AA150" s="271"/>
      <c r="AB150" s="271"/>
      <c r="AC150" s="271"/>
      <c r="AD150" s="272"/>
      <c r="AE150" s="45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50" t="s">
        <v>195</v>
      </c>
      <c r="BN150" s="49"/>
      <c r="BO150" s="49"/>
      <c r="BP150" s="49"/>
      <c r="BQ150" s="49"/>
      <c r="BR150" s="50" t="s">
        <v>195</v>
      </c>
      <c r="BS150" s="49"/>
      <c r="BT150" s="49"/>
      <c r="BU150" s="49"/>
      <c r="BV150" s="49"/>
      <c r="BW150" s="49" t="s">
        <v>195</v>
      </c>
      <c r="BX150" s="49"/>
      <c r="CA150" s="49"/>
      <c r="CB150" s="49"/>
      <c r="CC150" s="49"/>
      <c r="CD150" s="49"/>
      <c r="CE150" s="49" t="s">
        <v>195</v>
      </c>
      <c r="CF150" s="49"/>
      <c r="CG150" s="49"/>
      <c r="CH150" s="49"/>
      <c r="CI150" s="49"/>
      <c r="CJ150" s="49" t="s">
        <v>195</v>
      </c>
      <c r="CK150" s="49"/>
      <c r="CL150" s="49"/>
      <c r="CM150" s="49"/>
      <c r="CN150" s="49"/>
      <c r="CO150" s="49" t="s">
        <v>195</v>
      </c>
      <c r="CP150" s="49"/>
      <c r="CQ150" s="49"/>
      <c r="CR150" s="49"/>
      <c r="CS150" s="49"/>
      <c r="CT150" s="49" t="s">
        <v>195</v>
      </c>
      <c r="CU150" s="49"/>
      <c r="CV150" s="49"/>
      <c r="CW150" s="49"/>
      <c r="CX150" s="49"/>
      <c r="CY150" s="49" t="s">
        <v>195</v>
      </c>
      <c r="CZ150" s="49"/>
      <c r="DA150" s="49"/>
      <c r="DB150" s="49"/>
      <c r="DC150" s="49"/>
      <c r="DD150" s="49" t="s">
        <v>195</v>
      </c>
      <c r="DE150" s="49"/>
      <c r="DF150" s="49"/>
      <c r="DG150" s="49"/>
      <c r="DH150" s="49"/>
    </row>
    <row r="151" hidden="1">
      <c r="A151" s="264"/>
      <c r="B151" s="265"/>
      <c r="C151" s="266"/>
      <c r="D151" s="266"/>
      <c r="E151" s="266"/>
      <c r="F151" s="266"/>
      <c r="G151" s="267"/>
      <c r="H151" s="267"/>
      <c r="I151" s="267"/>
      <c r="J151" s="266"/>
      <c r="K151" s="266"/>
      <c r="L151" s="267"/>
      <c r="M151" s="268"/>
      <c r="N151" s="269"/>
      <c r="O151" s="269"/>
      <c r="P151" s="269"/>
      <c r="Q151" s="269"/>
      <c r="R151" s="269"/>
      <c r="S151" s="269"/>
      <c r="T151" s="270"/>
      <c r="U151" s="268"/>
      <c r="V151" s="268"/>
      <c r="W151" s="268"/>
      <c r="X151" s="270"/>
      <c r="Y151" s="271"/>
      <c r="Z151" s="271"/>
      <c r="AA151" s="271"/>
      <c r="AB151" s="271"/>
      <c r="AC151" s="271"/>
      <c r="AD151" s="272"/>
      <c r="AE151" s="45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50" t="s">
        <v>195</v>
      </c>
      <c r="BN151" s="49"/>
      <c r="BO151" s="49"/>
      <c r="BP151" s="49"/>
      <c r="BQ151" s="49"/>
      <c r="BR151" s="50" t="s">
        <v>195</v>
      </c>
      <c r="BS151" s="49"/>
      <c r="BT151" s="49"/>
      <c r="BU151" s="49"/>
      <c r="BV151" s="49"/>
      <c r="BW151" s="49" t="s">
        <v>195</v>
      </c>
      <c r="BX151" s="49"/>
      <c r="CA151" s="49"/>
      <c r="CB151" s="49"/>
      <c r="CC151" s="49"/>
      <c r="CD151" s="49"/>
      <c r="CE151" s="49" t="s">
        <v>195</v>
      </c>
      <c r="CF151" s="49"/>
      <c r="CG151" s="49"/>
      <c r="CH151" s="49"/>
      <c r="CI151" s="49"/>
      <c r="CJ151" s="49" t="s">
        <v>195</v>
      </c>
      <c r="CK151" s="49"/>
      <c r="CL151" s="49"/>
      <c r="CM151" s="49"/>
      <c r="CN151" s="49"/>
      <c r="CO151" s="49" t="s">
        <v>195</v>
      </c>
      <c r="CP151" s="49"/>
      <c r="CQ151" s="49"/>
      <c r="CR151" s="49"/>
      <c r="CS151" s="49"/>
      <c r="CT151" s="49" t="s">
        <v>195</v>
      </c>
      <c r="CU151" s="49"/>
      <c r="CV151" s="49"/>
      <c r="CW151" s="49"/>
      <c r="CX151" s="49"/>
      <c r="CY151" s="49" t="s">
        <v>195</v>
      </c>
      <c r="CZ151" s="49"/>
      <c r="DA151" s="49"/>
      <c r="DB151" s="49"/>
      <c r="DC151" s="49"/>
      <c r="DD151" s="49" t="s">
        <v>195</v>
      </c>
      <c r="DE151" s="49"/>
      <c r="DF151" s="49"/>
      <c r="DG151" s="49"/>
      <c r="DH151" s="49"/>
    </row>
    <row r="152" ht="10.5" customHeight="1">
      <c r="A152" s="264"/>
      <c r="B152" s="265"/>
      <c r="C152" s="266"/>
      <c r="D152" s="266"/>
      <c r="E152" s="266"/>
      <c r="F152" s="266"/>
      <c r="G152" s="267"/>
      <c r="H152" s="267"/>
      <c r="I152" s="267"/>
      <c r="J152" s="266"/>
      <c r="K152" s="266"/>
      <c r="L152" s="267"/>
      <c r="M152" s="268"/>
      <c r="N152" s="269"/>
      <c r="O152" s="269"/>
      <c r="P152" s="269"/>
      <c r="Q152" s="269"/>
      <c r="R152" s="269"/>
      <c r="S152" s="269"/>
      <c r="T152" s="270"/>
      <c r="U152" s="268"/>
      <c r="V152" s="268"/>
      <c r="W152" s="268"/>
      <c r="X152" s="270"/>
      <c r="Y152" s="271"/>
      <c r="Z152" s="271"/>
      <c r="AA152" s="271"/>
      <c r="AB152" s="271"/>
      <c r="AC152" s="271"/>
      <c r="AD152" s="272"/>
      <c r="AE152" s="45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50" t="s">
        <v>195</v>
      </c>
      <c r="BN152" s="49"/>
      <c r="BO152" s="49"/>
      <c r="BP152" s="49"/>
      <c r="BQ152" s="49"/>
      <c r="BR152" s="50" t="s">
        <v>195</v>
      </c>
      <c r="BS152" s="49"/>
      <c r="BT152" s="49"/>
      <c r="BU152" s="49"/>
      <c r="BV152" s="49"/>
      <c r="BW152" s="49" t="s">
        <v>195</v>
      </c>
      <c r="BX152" s="49"/>
      <c r="CA152" s="49"/>
      <c r="CB152" s="49"/>
      <c r="CC152" s="49"/>
      <c r="CD152" s="49"/>
      <c r="CE152" s="49" t="s">
        <v>195</v>
      </c>
      <c r="CF152" s="49"/>
      <c r="CG152" s="49"/>
      <c r="CH152" s="49"/>
      <c r="CI152" s="49"/>
      <c r="CJ152" s="49" t="s">
        <v>195</v>
      </c>
      <c r="CK152" s="49"/>
      <c r="CL152" s="49"/>
      <c r="CM152" s="49"/>
      <c r="CN152" s="49"/>
      <c r="CO152" s="49" t="s">
        <v>195</v>
      </c>
      <c r="CP152" s="49"/>
      <c r="CQ152" s="49"/>
      <c r="CR152" s="49"/>
      <c r="CS152" s="49"/>
      <c r="CT152" s="49" t="s">
        <v>195</v>
      </c>
      <c r="CU152" s="49"/>
      <c r="CV152" s="49"/>
      <c r="CW152" s="49"/>
      <c r="CX152" s="49"/>
      <c r="CY152" s="49" t="s">
        <v>195</v>
      </c>
      <c r="CZ152" s="49"/>
      <c r="DA152" s="49"/>
      <c r="DB152" s="49"/>
      <c r="DC152" s="49"/>
      <c r="DD152" s="49" t="s">
        <v>195</v>
      </c>
      <c r="DE152" s="49"/>
      <c r="DF152" s="49"/>
      <c r="DG152" s="49"/>
      <c r="DH152" s="49"/>
    </row>
    <row r="153">
      <c r="A153" s="264"/>
      <c r="B153" s="63" t="str">
        <f>IFERROR(__xludf.DUMMYFUNCTION("IMPORTRANGE('Пр.взв'!N1,""Реквизиты!A5"")"),"Гл.судья, судья ВК")</f>
        <v>Гл.судья, судья ВК</v>
      </c>
      <c r="D153" s="266"/>
      <c r="E153" s="273"/>
      <c r="F153" s="273"/>
      <c r="G153" s="274"/>
      <c r="H153" s="274"/>
      <c r="I153" s="274"/>
      <c r="J153" s="273"/>
      <c r="K153" s="273"/>
      <c r="L153" s="274"/>
      <c r="M153" s="275"/>
      <c r="N153" s="269" t="str">
        <f>IFERROR(__xludf.DUMMYFUNCTION("IMPORTRANGE('Пр.взв'!N1,""Реквизиты!C6"")"),"Редин Д.А.
")</f>
        <v>Редин Д.А.
</v>
      </c>
      <c r="T153" s="270"/>
      <c r="U153" s="268"/>
      <c r="V153" s="268"/>
      <c r="W153" s="268"/>
      <c r="X153" s="270"/>
      <c r="Y153" s="271" t="str">
        <f>IFERROR(__xludf.DUMMYFUNCTION("IMPORTRANGE('Пр.взв'!N1,""Реквизиты!B7"")"),"/ г.Хабаровск /")</f>
        <v>/ г.Хабаровск /</v>
      </c>
      <c r="AE153" s="45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50" t="s">
        <v>197</v>
      </c>
      <c r="BN153" s="49"/>
      <c r="BO153" s="49"/>
      <c r="BP153" s="49"/>
      <c r="BQ153" s="49"/>
      <c r="BR153" s="50" t="s">
        <v>195</v>
      </c>
      <c r="BS153" s="49"/>
      <c r="BT153" s="49"/>
      <c r="BU153" s="49"/>
      <c r="BV153" s="49"/>
      <c r="BW153" s="49" t="s">
        <v>195</v>
      </c>
      <c r="BX153" s="49"/>
      <c r="CA153" s="49"/>
      <c r="CB153" s="49"/>
      <c r="CC153" s="49"/>
      <c r="CD153" s="49"/>
      <c r="CE153" s="49" t="s">
        <v>197</v>
      </c>
      <c r="CF153" s="49"/>
      <c r="CG153" s="49"/>
      <c r="CH153" s="49"/>
      <c r="CI153" s="49"/>
      <c r="CJ153" s="49" t="s">
        <v>197</v>
      </c>
      <c r="CK153" s="49" t="s">
        <v>198</v>
      </c>
      <c r="CL153" s="49"/>
      <c r="CM153" s="49"/>
      <c r="CN153" s="49"/>
      <c r="CO153" s="49" t="s">
        <v>197</v>
      </c>
      <c r="CP153" s="49"/>
      <c r="CQ153" s="49"/>
      <c r="CR153" s="49"/>
      <c r="CS153" s="49"/>
      <c r="CT153" s="49" t="s">
        <v>197</v>
      </c>
      <c r="CU153" s="49"/>
      <c r="CV153" s="49"/>
      <c r="CW153" s="49"/>
      <c r="CX153" s="49"/>
      <c r="CY153" s="49" t="s">
        <v>197</v>
      </c>
      <c r="CZ153" s="49"/>
      <c r="DA153" s="49"/>
      <c r="DB153" s="49"/>
      <c r="DC153" s="49"/>
      <c r="DD153" s="49" t="s">
        <v>197</v>
      </c>
      <c r="DE153" s="49"/>
      <c r="DF153" s="49"/>
      <c r="DG153" s="49"/>
      <c r="DH153" s="49"/>
    </row>
    <row r="154" ht="19.5" customHeight="1">
      <c r="A154" s="54"/>
      <c r="B154" s="63" t="str">
        <f>IFERROR(__xludf.DUMMYFUNCTION("IMPORTRANGE('Пр.взв'!N1,""Реквизиты!A9"")"),"Гл.секретарь, судья ВК")</f>
        <v>Гл.секретарь, судья ВК</v>
      </c>
      <c r="D154" s="276"/>
      <c r="E154" s="277"/>
      <c r="F154" s="278"/>
      <c r="G154" s="279"/>
      <c r="H154" s="279"/>
      <c r="I154" s="279"/>
      <c r="J154" s="279"/>
      <c r="K154" s="279"/>
      <c r="L154" s="279"/>
      <c r="M154" s="279"/>
      <c r="N154" s="269" t="str">
        <f>IFERROR(__xludf.DUMMYFUNCTION("IMPORTRANGE('Пр.взв'!N1,""Реквизиты!C10"")"),"Зарипов А.А.")</f>
        <v>Зарипов А.А.</v>
      </c>
      <c r="T154" s="280"/>
      <c r="U154" s="281"/>
      <c r="V154" s="281"/>
      <c r="W154" s="281"/>
      <c r="X154" s="280"/>
      <c r="Y154" s="271" t="str">
        <f>IFERROR(__xludf.DUMMYFUNCTION("IMPORTRANGE('Пр.взв'!N1,""Реквизиты!B11"")"),"/ Р.Татарстан /")</f>
        <v>/ Р.Татарстан /</v>
      </c>
      <c r="AE154" s="45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50" t="s">
        <v>199</v>
      </c>
      <c r="BN154" s="49"/>
      <c r="BO154" s="49"/>
      <c r="BP154" s="49"/>
      <c r="BQ154" s="49"/>
      <c r="BR154" s="50" t="s">
        <v>195</v>
      </c>
      <c r="BS154" s="49"/>
      <c r="BT154" s="49"/>
      <c r="BU154" s="49"/>
      <c r="BV154" s="49"/>
      <c r="BW154" s="49" t="s">
        <v>195</v>
      </c>
      <c r="BX154" s="49"/>
      <c r="CA154" s="49"/>
      <c r="CB154" s="49"/>
      <c r="CC154" s="49"/>
      <c r="CD154" s="49"/>
      <c r="CE154" s="49" t="s">
        <v>199</v>
      </c>
      <c r="CF154" s="49"/>
      <c r="CG154" s="49"/>
      <c r="CH154" s="49"/>
      <c r="CI154" s="49"/>
      <c r="CJ154" s="49" t="s">
        <v>199</v>
      </c>
      <c r="CK154" s="49" t="s">
        <v>200</v>
      </c>
      <c r="CL154" s="49"/>
      <c r="CM154" s="49"/>
      <c r="CN154" s="49"/>
      <c r="CO154" s="49" t="s">
        <v>199</v>
      </c>
      <c r="CP154" s="49"/>
      <c r="CQ154" s="49"/>
      <c r="CR154" s="49"/>
      <c r="CS154" s="49"/>
      <c r="CT154" s="49" t="s">
        <v>199</v>
      </c>
      <c r="CU154" s="49"/>
      <c r="CV154" s="49"/>
      <c r="CW154" s="49"/>
      <c r="CX154" s="49"/>
      <c r="CY154" s="49" t="s">
        <v>199</v>
      </c>
      <c r="CZ154" s="49"/>
      <c r="DA154" s="49"/>
      <c r="DB154" s="49"/>
      <c r="DC154" s="49"/>
      <c r="DD154" s="49" t="s">
        <v>199</v>
      </c>
      <c r="DE154" s="49"/>
      <c r="DF154" s="49"/>
      <c r="DG154" s="49"/>
      <c r="DH154" s="49"/>
    </row>
    <row r="155">
      <c r="D155" s="282"/>
      <c r="F155" s="283"/>
      <c r="AD155" s="284"/>
      <c r="AE155" s="285"/>
      <c r="AY155" s="252"/>
      <c r="BA155" s="252"/>
      <c r="BC155" s="252"/>
      <c r="BD155" s="252"/>
      <c r="BE155" s="252"/>
      <c r="BF155" s="252"/>
      <c r="BG155" s="252"/>
      <c r="BH155" s="252"/>
      <c r="BM155" s="252" t="s">
        <v>195</v>
      </c>
      <c r="BN155" s="252"/>
      <c r="BP155" s="252"/>
      <c r="BR155" s="252" t="s">
        <v>195</v>
      </c>
      <c r="BS155" s="252"/>
      <c r="BU155" s="252"/>
      <c r="BW155" s="252" t="s">
        <v>195</v>
      </c>
      <c r="BX155" s="252"/>
      <c r="CE155" s="252" t="s">
        <v>195</v>
      </c>
      <c r="CF155" s="252"/>
      <c r="CH155" s="252"/>
      <c r="CJ155" s="252" t="s">
        <v>195</v>
      </c>
      <c r="CK155" s="252"/>
      <c r="CM155" s="252"/>
      <c r="CO155" s="252" t="s">
        <v>195</v>
      </c>
      <c r="CP155" s="252"/>
      <c r="CR155" s="252"/>
      <c r="CT155" s="252" t="s">
        <v>195</v>
      </c>
      <c r="CU155" s="252"/>
      <c r="CW155" s="252"/>
      <c r="CY155" s="252" t="s">
        <v>195</v>
      </c>
      <c r="CZ155" s="252"/>
      <c r="DB155" s="252"/>
      <c r="DD155" s="252" t="s">
        <v>195</v>
      </c>
    </row>
    <row r="156">
      <c r="D156" s="282"/>
      <c r="AD156" s="284"/>
      <c r="AE156" s="285"/>
      <c r="AY156" s="252"/>
      <c r="BA156" s="252"/>
      <c r="BC156" s="252"/>
      <c r="BD156" s="252"/>
      <c r="BE156" s="252"/>
      <c r="BF156" s="252"/>
      <c r="BG156" s="252"/>
      <c r="BH156" s="252"/>
      <c r="BM156" s="252" t="s">
        <v>195</v>
      </c>
      <c r="BN156" s="252"/>
      <c r="BP156" s="252"/>
      <c r="BR156" s="252" t="s">
        <v>195</v>
      </c>
      <c r="BS156" s="252"/>
      <c r="BU156" s="252"/>
      <c r="BW156" s="252" t="s">
        <v>195</v>
      </c>
      <c r="BX156" s="252"/>
      <c r="CE156" s="252" t="s">
        <v>195</v>
      </c>
      <c r="CF156" s="252"/>
      <c r="CH156" s="252"/>
      <c r="CJ156" s="252" t="s">
        <v>195</v>
      </c>
      <c r="CK156" s="252"/>
      <c r="CM156" s="252"/>
      <c r="CO156" s="252" t="s">
        <v>195</v>
      </c>
      <c r="CP156" s="252"/>
      <c r="CR156" s="252"/>
      <c r="CT156" s="252" t="s">
        <v>195</v>
      </c>
      <c r="CU156" s="252"/>
      <c r="CW156" s="252"/>
      <c r="CY156" s="252" t="s">
        <v>195</v>
      </c>
      <c r="CZ156" s="252"/>
      <c r="DB156" s="252"/>
      <c r="DD156" s="252" t="s">
        <v>195</v>
      </c>
    </row>
    <row r="157">
      <c r="D157" s="282"/>
      <c r="AD157" s="284"/>
      <c r="AE157" s="285"/>
      <c r="AY157" s="252"/>
      <c r="BA157" s="252"/>
      <c r="BC157" s="252"/>
      <c r="BD157" s="252"/>
      <c r="BE157" s="252"/>
      <c r="BF157" s="252"/>
      <c r="BG157" s="252"/>
      <c r="BH157" s="252"/>
      <c r="BM157" s="252" t="s">
        <v>195</v>
      </c>
      <c r="BN157" s="252"/>
      <c r="BP157" s="252"/>
      <c r="BR157" s="252" t="s">
        <v>195</v>
      </c>
      <c r="BS157" s="252"/>
      <c r="BU157" s="252"/>
      <c r="BW157" s="252" t="s">
        <v>195</v>
      </c>
      <c r="BX157" s="252"/>
      <c r="CE157" s="252" t="s">
        <v>195</v>
      </c>
      <c r="CF157" s="252"/>
      <c r="CH157" s="252"/>
      <c r="CJ157" s="252" t="s">
        <v>195</v>
      </c>
      <c r="CK157" s="252"/>
      <c r="CM157" s="252"/>
      <c r="CO157" s="252" t="s">
        <v>195</v>
      </c>
      <c r="CP157" s="252"/>
      <c r="CR157" s="252"/>
      <c r="CT157" s="252" t="s">
        <v>195</v>
      </c>
      <c r="CU157" s="252"/>
      <c r="CW157" s="252"/>
      <c r="CY157" s="252" t="s">
        <v>195</v>
      </c>
      <c r="CZ157" s="252"/>
      <c r="DB157" s="252"/>
      <c r="DD157" s="252" t="s">
        <v>195</v>
      </c>
    </row>
    <row r="158">
      <c r="D158" s="282"/>
      <c r="AD158" s="284"/>
      <c r="AE158" s="285"/>
      <c r="AY158" s="252"/>
      <c r="BA158" s="252"/>
      <c r="BC158" s="252"/>
      <c r="BD158" s="252"/>
      <c r="BE158" s="252"/>
      <c r="BF158" s="252"/>
      <c r="BG158" s="252"/>
      <c r="BH158" s="252"/>
      <c r="BM158" s="252" t="s">
        <v>195</v>
      </c>
      <c r="BN158" s="252"/>
      <c r="BP158" s="252"/>
      <c r="BR158" s="252" t="s">
        <v>195</v>
      </c>
      <c r="BS158" s="252"/>
      <c r="BU158" s="252"/>
      <c r="BW158" s="252" t="s">
        <v>195</v>
      </c>
      <c r="BX158" s="252"/>
      <c r="CE158" s="252" t="s">
        <v>195</v>
      </c>
      <c r="CF158" s="252"/>
      <c r="CH158" s="252"/>
      <c r="CJ158" s="252" t="s">
        <v>195</v>
      </c>
      <c r="CK158" s="252"/>
      <c r="CM158" s="252"/>
      <c r="CO158" s="252" t="s">
        <v>195</v>
      </c>
      <c r="CP158" s="252"/>
      <c r="CR158" s="252"/>
      <c r="CT158" s="252" t="s">
        <v>195</v>
      </c>
      <c r="CU158" s="252"/>
      <c r="CW158" s="252"/>
      <c r="CY158" s="252" t="s">
        <v>195</v>
      </c>
      <c r="CZ158" s="252"/>
      <c r="DB158" s="252"/>
      <c r="DD158" s="252" t="s">
        <v>195</v>
      </c>
    </row>
    <row r="159">
      <c r="D159" s="282"/>
      <c r="AD159" s="284"/>
      <c r="AE159" s="285"/>
      <c r="AY159" s="252"/>
      <c r="BA159" s="252"/>
      <c r="BC159" s="252"/>
      <c r="BD159" s="252"/>
      <c r="BE159" s="252"/>
      <c r="BF159" s="252"/>
      <c r="BG159" s="252"/>
      <c r="BH159" s="252"/>
      <c r="BM159" s="252" t="s">
        <v>195</v>
      </c>
      <c r="BN159" s="252"/>
      <c r="BP159" s="252"/>
      <c r="BR159" s="252" t="s">
        <v>195</v>
      </c>
      <c r="BS159" s="252"/>
      <c r="BU159" s="252"/>
      <c r="BW159" s="252" t="s">
        <v>195</v>
      </c>
      <c r="BX159" s="252"/>
      <c r="CE159" s="252" t="s">
        <v>195</v>
      </c>
      <c r="CF159" s="252"/>
      <c r="CH159" s="252"/>
      <c r="CJ159" s="252" t="s">
        <v>195</v>
      </c>
      <c r="CK159" s="252"/>
      <c r="CM159" s="252"/>
      <c r="CO159" s="252" t="s">
        <v>195</v>
      </c>
      <c r="CP159" s="252"/>
      <c r="CR159" s="252"/>
      <c r="CT159" s="252" t="s">
        <v>195</v>
      </c>
      <c r="CU159" s="252"/>
      <c r="CW159" s="252"/>
      <c r="CY159" s="252" t="s">
        <v>195</v>
      </c>
      <c r="CZ159" s="252"/>
      <c r="DB159" s="252"/>
      <c r="DD159" s="252" t="s">
        <v>195</v>
      </c>
    </row>
    <row r="160">
      <c r="D160" s="282"/>
      <c r="AD160" s="284"/>
      <c r="AE160" s="285"/>
      <c r="AY160" s="252"/>
      <c r="BA160" s="252"/>
      <c r="BC160" s="252"/>
      <c r="BD160" s="252"/>
      <c r="BE160" s="252"/>
      <c r="BF160" s="252"/>
      <c r="BG160" s="252"/>
      <c r="BH160" s="252"/>
      <c r="BM160" s="252" t="s">
        <v>195</v>
      </c>
      <c r="BN160" s="252"/>
      <c r="BP160" s="252"/>
      <c r="BR160" s="252" t="s">
        <v>195</v>
      </c>
      <c r="BS160" s="252"/>
      <c r="BU160" s="252"/>
      <c r="BW160" s="252" t="s">
        <v>195</v>
      </c>
      <c r="BX160" s="252"/>
      <c r="CE160" s="252" t="s">
        <v>195</v>
      </c>
      <c r="CF160" s="252"/>
      <c r="CH160" s="252"/>
      <c r="CJ160" s="252" t="s">
        <v>195</v>
      </c>
      <c r="CK160" s="252"/>
      <c r="CM160" s="252"/>
      <c r="CO160" s="252" t="s">
        <v>195</v>
      </c>
      <c r="CP160" s="252"/>
      <c r="CR160" s="252"/>
      <c r="CT160" s="252" t="s">
        <v>195</v>
      </c>
      <c r="CU160" s="252"/>
      <c r="CW160" s="252"/>
      <c r="CY160" s="252" t="s">
        <v>195</v>
      </c>
      <c r="CZ160" s="252"/>
      <c r="DB160" s="252"/>
      <c r="DD160" s="252" t="s">
        <v>195</v>
      </c>
    </row>
    <row r="161">
      <c r="D161" s="282"/>
      <c r="AD161" s="284"/>
      <c r="AE161" s="285"/>
      <c r="AY161" s="252"/>
      <c r="BA161" s="252"/>
      <c r="BC161" s="252"/>
      <c r="BD161" s="252"/>
      <c r="BE161" s="252"/>
      <c r="BF161" s="252"/>
      <c r="BG161" s="252"/>
      <c r="BH161" s="252"/>
      <c r="BM161" s="252" t="s">
        <v>195</v>
      </c>
      <c r="BN161" s="252"/>
      <c r="BP161" s="252"/>
      <c r="BR161" s="252" t="s">
        <v>195</v>
      </c>
      <c r="BS161" s="252"/>
      <c r="BU161" s="252"/>
      <c r="BW161" s="252" t="s">
        <v>195</v>
      </c>
      <c r="BX161" s="252"/>
      <c r="CE161" s="252" t="s">
        <v>195</v>
      </c>
      <c r="CF161" s="252"/>
      <c r="CH161" s="252"/>
      <c r="CJ161" s="252" t="s">
        <v>195</v>
      </c>
      <c r="CK161" s="252"/>
      <c r="CM161" s="252"/>
      <c r="CO161" s="252" t="s">
        <v>195</v>
      </c>
      <c r="CP161" s="252"/>
      <c r="CR161" s="252"/>
      <c r="CT161" s="252" t="s">
        <v>195</v>
      </c>
      <c r="CU161" s="252"/>
      <c r="CW161" s="252"/>
      <c r="CY161" s="252" t="s">
        <v>195</v>
      </c>
      <c r="CZ161" s="252"/>
      <c r="DB161" s="252"/>
      <c r="DD161" s="252" t="s">
        <v>195</v>
      </c>
    </row>
    <row r="162">
      <c r="D162" s="282"/>
      <c r="AD162" s="284"/>
      <c r="AE162" s="285"/>
      <c r="AY162" s="252"/>
      <c r="BA162" s="252"/>
      <c r="BC162" s="252"/>
      <c r="BD162" s="252"/>
      <c r="BE162" s="252"/>
      <c r="BF162" s="252"/>
      <c r="BG162" s="252"/>
      <c r="BH162" s="252"/>
      <c r="BM162" s="252" t="s">
        <v>195</v>
      </c>
      <c r="BN162" s="252"/>
      <c r="BP162" s="252"/>
      <c r="BR162" s="252" t="s">
        <v>195</v>
      </c>
      <c r="BS162" s="252"/>
      <c r="BU162" s="252"/>
      <c r="BW162" s="252" t="s">
        <v>195</v>
      </c>
      <c r="BX162" s="252"/>
      <c r="CE162" s="252" t="s">
        <v>195</v>
      </c>
      <c r="CF162" s="252"/>
      <c r="CH162" s="252"/>
      <c r="CJ162" s="252" t="s">
        <v>195</v>
      </c>
      <c r="CK162" s="252"/>
      <c r="CM162" s="252"/>
      <c r="CO162" s="252" t="s">
        <v>195</v>
      </c>
      <c r="CP162" s="252"/>
      <c r="CR162" s="252"/>
      <c r="CT162" s="252" t="s">
        <v>195</v>
      </c>
      <c r="CU162" s="252"/>
      <c r="CW162" s="252"/>
      <c r="CY162" s="252" t="s">
        <v>195</v>
      </c>
      <c r="CZ162" s="252"/>
      <c r="DB162" s="252"/>
      <c r="DD162" s="252" t="s">
        <v>195</v>
      </c>
    </row>
    <row r="163">
      <c r="D163" s="282"/>
      <c r="AD163" s="284"/>
      <c r="AE163" s="285"/>
      <c r="AY163" s="252"/>
      <c r="BA163" s="252"/>
      <c r="BC163" s="252"/>
      <c r="BD163" s="252"/>
      <c r="BE163" s="252"/>
      <c r="BF163" s="252"/>
      <c r="BG163" s="252"/>
      <c r="BH163" s="252"/>
      <c r="BM163" s="252" t="s">
        <v>195</v>
      </c>
      <c r="BN163" s="252"/>
      <c r="BP163" s="252"/>
      <c r="BR163" s="252" t="s">
        <v>195</v>
      </c>
      <c r="BS163" s="252"/>
      <c r="BU163" s="252"/>
      <c r="BW163" s="252" t="s">
        <v>195</v>
      </c>
      <c r="BX163" s="252"/>
      <c r="CE163" s="252" t="s">
        <v>195</v>
      </c>
      <c r="CF163" s="252"/>
      <c r="CH163" s="252"/>
      <c r="CJ163" s="252" t="s">
        <v>195</v>
      </c>
      <c r="CK163" s="252"/>
      <c r="CM163" s="252"/>
      <c r="CO163" s="252" t="s">
        <v>195</v>
      </c>
      <c r="CP163" s="252"/>
      <c r="CR163" s="252"/>
      <c r="CT163" s="252" t="s">
        <v>195</v>
      </c>
      <c r="CU163" s="252"/>
      <c r="CW163" s="252"/>
      <c r="CY163" s="252" t="s">
        <v>195</v>
      </c>
      <c r="CZ163" s="252"/>
      <c r="DB163" s="252"/>
      <c r="DD163" s="252" t="s">
        <v>195</v>
      </c>
    </row>
    <row r="164">
      <c r="D164" s="282"/>
      <c r="AD164" s="284"/>
      <c r="AE164" s="285"/>
      <c r="AY164" s="252"/>
      <c r="BA164" s="252"/>
      <c r="BC164" s="252"/>
      <c r="BD164" s="252"/>
      <c r="BE164" s="252"/>
      <c r="BF164" s="252"/>
      <c r="BG164" s="252"/>
      <c r="BH164" s="252"/>
      <c r="BM164" s="252" t="s">
        <v>195</v>
      </c>
      <c r="BN164" s="252"/>
      <c r="BP164" s="252"/>
      <c r="BR164" s="252" t="s">
        <v>195</v>
      </c>
      <c r="BS164" s="252"/>
      <c r="BU164" s="252"/>
      <c r="BW164" s="252" t="s">
        <v>195</v>
      </c>
      <c r="BX164" s="252"/>
      <c r="CE164" s="252" t="s">
        <v>195</v>
      </c>
      <c r="CF164" s="252"/>
      <c r="CH164" s="252"/>
      <c r="CJ164" s="252" t="s">
        <v>195</v>
      </c>
      <c r="CK164" s="252"/>
      <c r="CM164" s="252"/>
      <c r="CO164" s="252" t="s">
        <v>195</v>
      </c>
      <c r="CP164" s="252"/>
      <c r="CR164" s="252"/>
      <c r="CT164" s="252" t="s">
        <v>195</v>
      </c>
      <c r="CU164" s="252"/>
      <c r="CW164" s="252"/>
      <c r="CY164" s="252" t="s">
        <v>195</v>
      </c>
      <c r="CZ164" s="252"/>
      <c r="DB164" s="252"/>
      <c r="DD164" s="252" t="s">
        <v>195</v>
      </c>
    </row>
  </sheetData>
  <mergeCells count="3603"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1:AO32"/>
    <mergeCell ref="AP31:AP32"/>
    <mergeCell ref="AQ31:AQ32"/>
    <mergeCell ref="AR31:AR32"/>
    <mergeCell ref="AS31:AS32"/>
    <mergeCell ref="AT31:AT32"/>
    <mergeCell ref="AU31:AU32"/>
    <mergeCell ref="CE31:CE32"/>
    <mergeCell ref="CF31:CF32"/>
    <mergeCell ref="CO31:CO32"/>
    <mergeCell ref="CP31:CP32"/>
    <mergeCell ref="CT31:CT32"/>
    <mergeCell ref="CU31:CU32"/>
    <mergeCell ref="CY31:CY32"/>
    <mergeCell ref="CZ31:CZ32"/>
    <mergeCell ref="AV31:AV32"/>
    <mergeCell ref="AW31:AW32"/>
    <mergeCell ref="AX31:AX32"/>
    <mergeCell ref="BM31:BM32"/>
    <mergeCell ref="BN31:BN32"/>
    <mergeCell ref="BR31:BR32"/>
    <mergeCell ref="BS31:BS32"/>
    <mergeCell ref="B31:B32"/>
    <mergeCell ref="C31:C32"/>
    <mergeCell ref="D31:D32"/>
    <mergeCell ref="E31:E32"/>
    <mergeCell ref="F31:F32"/>
    <mergeCell ref="H31:H32"/>
    <mergeCell ref="J31:J32"/>
    <mergeCell ref="B33:B34"/>
    <mergeCell ref="C33:C34"/>
    <mergeCell ref="D33:D34"/>
    <mergeCell ref="E33:E34"/>
    <mergeCell ref="F33:F34"/>
    <mergeCell ref="H33:H34"/>
    <mergeCell ref="J33:J34"/>
    <mergeCell ref="Z33:Z34"/>
    <mergeCell ref="AB33:AB34"/>
    <mergeCell ref="AC33:AC34"/>
    <mergeCell ref="AD33:AD34"/>
    <mergeCell ref="AE33:AE34"/>
    <mergeCell ref="AF33:AF34"/>
    <mergeCell ref="AG33:AG34"/>
    <mergeCell ref="CU33:CU34"/>
    <mergeCell ref="CY33:CY34"/>
    <mergeCell ref="CZ33:CZ34"/>
    <mergeCell ref="AH33:AH34"/>
    <mergeCell ref="AI33:AI34"/>
    <mergeCell ref="CE33:CE34"/>
    <mergeCell ref="CF33:CF34"/>
    <mergeCell ref="CO33:CO34"/>
    <mergeCell ref="CP33:CP34"/>
    <mergeCell ref="CT33:CT34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B30:AD30"/>
    <mergeCell ref="AH26:AH27"/>
    <mergeCell ref="AI26:AI27"/>
    <mergeCell ref="AJ26:AJ27"/>
    <mergeCell ref="AK26:AK27"/>
    <mergeCell ref="AL26:AL27"/>
    <mergeCell ref="AM26:AM27"/>
    <mergeCell ref="AN26:AN27"/>
    <mergeCell ref="AQ33:AQ34"/>
    <mergeCell ref="AR33:AR34"/>
    <mergeCell ref="AJ33:AJ34"/>
    <mergeCell ref="AK33:AK34"/>
    <mergeCell ref="AL33:AL34"/>
    <mergeCell ref="AM33:AM34"/>
    <mergeCell ref="AN33:AN34"/>
    <mergeCell ref="AO33:AO34"/>
    <mergeCell ref="AP33:AP34"/>
    <mergeCell ref="BN33:BN34"/>
    <mergeCell ref="BR33:BR34"/>
    <mergeCell ref="AS33:AS34"/>
    <mergeCell ref="AT33:AT34"/>
    <mergeCell ref="AU33:AU34"/>
    <mergeCell ref="AV33:AV34"/>
    <mergeCell ref="AW33:AW34"/>
    <mergeCell ref="AX33:AX34"/>
    <mergeCell ref="BM33:BM34"/>
    <mergeCell ref="B26:B27"/>
    <mergeCell ref="C26:C27"/>
    <mergeCell ref="D26:D27"/>
    <mergeCell ref="E26:E27"/>
    <mergeCell ref="F26:F27"/>
    <mergeCell ref="H26:H27"/>
    <mergeCell ref="J26:J27"/>
    <mergeCell ref="L31:L32"/>
    <mergeCell ref="N31:N32"/>
    <mergeCell ref="P31:P32"/>
    <mergeCell ref="R31:R32"/>
    <mergeCell ref="T31:T32"/>
    <mergeCell ref="V31:V32"/>
    <mergeCell ref="X31:X32"/>
    <mergeCell ref="Z31:Z32"/>
    <mergeCell ref="AB31:AB32"/>
    <mergeCell ref="AC31:AC32"/>
    <mergeCell ref="AD31:AD32"/>
    <mergeCell ref="AE31:AE32"/>
    <mergeCell ref="AF31:AF32"/>
    <mergeCell ref="AG31:AG32"/>
    <mergeCell ref="BW31:BW32"/>
    <mergeCell ref="BX31:BX32"/>
    <mergeCell ref="BS33:BS34"/>
    <mergeCell ref="BW33:BW34"/>
    <mergeCell ref="BX33:BX34"/>
    <mergeCell ref="L33:L34"/>
    <mergeCell ref="N33:N34"/>
    <mergeCell ref="P33:P34"/>
    <mergeCell ref="R33:R34"/>
    <mergeCell ref="T33:T34"/>
    <mergeCell ref="V33:V34"/>
    <mergeCell ref="X33:X34"/>
    <mergeCell ref="AH31:AH32"/>
    <mergeCell ref="AI31:AI32"/>
    <mergeCell ref="AJ31:AJ32"/>
    <mergeCell ref="AK31:AK32"/>
    <mergeCell ref="AL31:AL32"/>
    <mergeCell ref="AM31:AM32"/>
    <mergeCell ref="AN31:AN32"/>
    <mergeCell ref="B28:B29"/>
    <mergeCell ref="C28:C29"/>
    <mergeCell ref="D28:D29"/>
    <mergeCell ref="E28:E29"/>
    <mergeCell ref="F28:F29"/>
    <mergeCell ref="H28:H29"/>
    <mergeCell ref="J28:J29"/>
    <mergeCell ref="AJ37:AJ38"/>
    <mergeCell ref="AK37:AK38"/>
    <mergeCell ref="AC37:AC38"/>
    <mergeCell ref="AD37:AD38"/>
    <mergeCell ref="AE37:AE38"/>
    <mergeCell ref="AF37:AF38"/>
    <mergeCell ref="AG37:AG38"/>
    <mergeCell ref="AH37:AH38"/>
    <mergeCell ref="AI37:AI38"/>
    <mergeCell ref="AO39:AO40"/>
    <mergeCell ref="AP39:AP40"/>
    <mergeCell ref="AQ39:AQ40"/>
    <mergeCell ref="AR39:AR40"/>
    <mergeCell ref="AS39:AS40"/>
    <mergeCell ref="AT39:AT40"/>
    <mergeCell ref="AU39:AU40"/>
    <mergeCell ref="AV39:AV40"/>
    <mergeCell ref="AW39:AW40"/>
    <mergeCell ref="AX39:AX40"/>
    <mergeCell ref="BM39:BM40"/>
    <mergeCell ref="BN39:BN40"/>
    <mergeCell ref="BR39:BR40"/>
    <mergeCell ref="BS39:BS40"/>
    <mergeCell ref="CF39:CF40"/>
    <mergeCell ref="CO39:CO40"/>
    <mergeCell ref="CP39:CP40"/>
    <mergeCell ref="CT39:CT40"/>
    <mergeCell ref="CU39:CU40"/>
    <mergeCell ref="CY39:CY40"/>
    <mergeCell ref="CZ39:CZ40"/>
    <mergeCell ref="CY41:CY42"/>
    <mergeCell ref="CZ41:CZ42"/>
    <mergeCell ref="CE39:CE40"/>
    <mergeCell ref="CE41:CE42"/>
    <mergeCell ref="CF41:CF42"/>
    <mergeCell ref="CO41:CO42"/>
    <mergeCell ref="CP41:CP42"/>
    <mergeCell ref="CT41:CT42"/>
    <mergeCell ref="CU41:CU42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BR43:BR44"/>
    <mergeCell ref="BS43:BS44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5:L36"/>
    <mergeCell ref="N35:N36"/>
    <mergeCell ref="P35:P36"/>
    <mergeCell ref="R35:R36"/>
    <mergeCell ref="T35:T36"/>
    <mergeCell ref="V35:V36"/>
    <mergeCell ref="X35:X36"/>
    <mergeCell ref="B35:B36"/>
    <mergeCell ref="C35:C36"/>
    <mergeCell ref="D35:D36"/>
    <mergeCell ref="E35:E36"/>
    <mergeCell ref="F35:F36"/>
    <mergeCell ref="H35:H36"/>
    <mergeCell ref="J35:J36"/>
    <mergeCell ref="BS37:BS38"/>
    <mergeCell ref="BW37:BW38"/>
    <mergeCell ref="AU37:AU38"/>
    <mergeCell ref="AV37:AV38"/>
    <mergeCell ref="AW37:AW38"/>
    <mergeCell ref="AX37:AX38"/>
    <mergeCell ref="BM37:BM38"/>
    <mergeCell ref="BN37:BN38"/>
    <mergeCell ref="BR37:BR38"/>
    <mergeCell ref="CO35:CO36"/>
    <mergeCell ref="CO37:CO38"/>
    <mergeCell ref="CT35:CT36"/>
    <mergeCell ref="CT37:CT38"/>
    <mergeCell ref="BW35:BW36"/>
    <mergeCell ref="BX35:BX36"/>
    <mergeCell ref="CF35:CF36"/>
    <mergeCell ref="CP35:CP36"/>
    <mergeCell ref="BX37:BX38"/>
    <mergeCell ref="CF37:CF38"/>
    <mergeCell ref="CP37:CP38"/>
    <mergeCell ref="AV35:AV36"/>
    <mergeCell ref="AW35:AW36"/>
    <mergeCell ref="AX35:AX36"/>
    <mergeCell ref="BM35:BM36"/>
    <mergeCell ref="BN35:BN36"/>
    <mergeCell ref="BR35:BR36"/>
    <mergeCell ref="BS35:BS36"/>
    <mergeCell ref="CU35:CU36"/>
    <mergeCell ref="CY35:CY36"/>
    <mergeCell ref="CZ35:CZ36"/>
    <mergeCell ref="CU37:CU38"/>
    <mergeCell ref="CY37:CY38"/>
    <mergeCell ref="CZ37:CZ38"/>
    <mergeCell ref="B37:B38"/>
    <mergeCell ref="C37:C38"/>
    <mergeCell ref="D37:D38"/>
    <mergeCell ref="E37:E38"/>
    <mergeCell ref="F37:F38"/>
    <mergeCell ref="H37:H38"/>
    <mergeCell ref="J37:J38"/>
    <mergeCell ref="Z35:Z36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AR35:AR36"/>
    <mergeCell ref="AS35:AS36"/>
    <mergeCell ref="AT35:AT36"/>
    <mergeCell ref="AU35:AU36"/>
    <mergeCell ref="CE35:CE36"/>
    <mergeCell ref="CE37:CE38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Q45:AQ46"/>
    <mergeCell ref="AR45:AR46"/>
    <mergeCell ref="AJ45:AJ46"/>
    <mergeCell ref="AK45:AK46"/>
    <mergeCell ref="AL45:AL46"/>
    <mergeCell ref="AM45:AM46"/>
    <mergeCell ref="AN45:AN46"/>
    <mergeCell ref="AO45:AO46"/>
    <mergeCell ref="AP45:AP46"/>
    <mergeCell ref="AS45:AS46"/>
    <mergeCell ref="AT45:AT46"/>
    <mergeCell ref="AU45:AU46"/>
    <mergeCell ref="AV45:AV46"/>
    <mergeCell ref="AW45:AW46"/>
    <mergeCell ref="AX45:AX46"/>
    <mergeCell ref="BM45:BM46"/>
    <mergeCell ref="CU45:CU46"/>
    <mergeCell ref="CY45:CY46"/>
    <mergeCell ref="CZ45:CZ46"/>
    <mergeCell ref="BN45:BN46"/>
    <mergeCell ref="BR45:BR46"/>
    <mergeCell ref="CE45:CE46"/>
    <mergeCell ref="CF45:CF46"/>
    <mergeCell ref="CO45:CO46"/>
    <mergeCell ref="CP45:CP46"/>
    <mergeCell ref="CT45:CT46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B47:B48"/>
    <mergeCell ref="C47:C48"/>
    <mergeCell ref="D47:D48"/>
    <mergeCell ref="E47:E48"/>
    <mergeCell ref="F47:F48"/>
    <mergeCell ref="H47:H48"/>
    <mergeCell ref="J47:J48"/>
    <mergeCell ref="B49:B50"/>
    <mergeCell ref="C49:C50"/>
    <mergeCell ref="D49:D50"/>
    <mergeCell ref="E49:E50"/>
    <mergeCell ref="F49:F50"/>
    <mergeCell ref="H49:H50"/>
    <mergeCell ref="J49:J50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J49:AJ50"/>
    <mergeCell ref="AK49:AK50"/>
    <mergeCell ref="AL49:AL50"/>
    <mergeCell ref="AM49:AM50"/>
    <mergeCell ref="AN49:AN50"/>
    <mergeCell ref="AO49:AO50"/>
    <mergeCell ref="AP49:AP50"/>
    <mergeCell ref="CU49:CU50"/>
    <mergeCell ref="CY49:CY50"/>
    <mergeCell ref="CZ49:CZ50"/>
    <mergeCell ref="AQ49:AQ50"/>
    <mergeCell ref="AR49:AR50"/>
    <mergeCell ref="CE49:CE50"/>
    <mergeCell ref="CF49:CF50"/>
    <mergeCell ref="CO49:CO50"/>
    <mergeCell ref="CP49:CP50"/>
    <mergeCell ref="CT49:CT50"/>
    <mergeCell ref="BS53:BS54"/>
    <mergeCell ref="BW53:BW54"/>
    <mergeCell ref="AU53:AU54"/>
    <mergeCell ref="AV53:AV54"/>
    <mergeCell ref="AW53:AW54"/>
    <mergeCell ref="AX53:AX54"/>
    <mergeCell ref="BM53:BM54"/>
    <mergeCell ref="BN53:BN54"/>
    <mergeCell ref="BR53:BR54"/>
    <mergeCell ref="AV51:AV52"/>
    <mergeCell ref="AW51:AW52"/>
    <mergeCell ref="AX51:AX52"/>
    <mergeCell ref="BM51:BM52"/>
    <mergeCell ref="BN51:BN52"/>
    <mergeCell ref="BR51:BR52"/>
    <mergeCell ref="BS51:BS52"/>
    <mergeCell ref="CU51:CU52"/>
    <mergeCell ref="CY51:CY52"/>
    <mergeCell ref="CZ51:CZ52"/>
    <mergeCell ref="B53:B54"/>
    <mergeCell ref="C53:C54"/>
    <mergeCell ref="D53:D54"/>
    <mergeCell ref="E53:E54"/>
    <mergeCell ref="F53:F54"/>
    <mergeCell ref="H53:H54"/>
    <mergeCell ref="J53:J54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BW51:BW52"/>
    <mergeCell ref="BX51:BX52"/>
    <mergeCell ref="CE51:CE52"/>
    <mergeCell ref="CF51:CF52"/>
    <mergeCell ref="CO51:CO52"/>
    <mergeCell ref="CP51:CP52"/>
    <mergeCell ref="CT51:CT52"/>
    <mergeCell ref="AS37:AS38"/>
    <mergeCell ref="AT37:AT38"/>
    <mergeCell ref="AL37:AL38"/>
    <mergeCell ref="AM37:AM38"/>
    <mergeCell ref="AN37:AN38"/>
    <mergeCell ref="AO37:AO38"/>
    <mergeCell ref="AP37:AP38"/>
    <mergeCell ref="AQ37:AQ38"/>
    <mergeCell ref="AR37:AR38"/>
    <mergeCell ref="AH41:AH42"/>
    <mergeCell ref="AI41:AI42"/>
    <mergeCell ref="Z41:Z42"/>
    <mergeCell ref="AB41:AB42"/>
    <mergeCell ref="AC41:AC42"/>
    <mergeCell ref="AD41:AD42"/>
    <mergeCell ref="AE41:AE42"/>
    <mergeCell ref="AF41:AF42"/>
    <mergeCell ref="AG41:AG42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BN41:BN42"/>
    <mergeCell ref="BR41:BR42"/>
    <mergeCell ref="AS41:AS42"/>
    <mergeCell ref="AT41:AT42"/>
    <mergeCell ref="AU41:AU42"/>
    <mergeCell ref="AV41:AV42"/>
    <mergeCell ref="AW41:AW42"/>
    <mergeCell ref="AX41:AX42"/>
    <mergeCell ref="BM41:BM42"/>
    <mergeCell ref="Z37:Z38"/>
    <mergeCell ref="AB37:AB38"/>
    <mergeCell ref="L37:L38"/>
    <mergeCell ref="N37:N38"/>
    <mergeCell ref="P37:P38"/>
    <mergeCell ref="R37:R38"/>
    <mergeCell ref="T37:T38"/>
    <mergeCell ref="V37:V38"/>
    <mergeCell ref="X37:X38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C39:AC40"/>
    <mergeCell ref="AD39:AD40"/>
    <mergeCell ref="AE39:AE40"/>
    <mergeCell ref="AF39:AF40"/>
    <mergeCell ref="AG39:AG40"/>
    <mergeCell ref="BW39:BW40"/>
    <mergeCell ref="BX39:BX40"/>
    <mergeCell ref="BS41:BS42"/>
    <mergeCell ref="BW41:BW42"/>
    <mergeCell ref="BX41:BX42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B39:B40"/>
    <mergeCell ref="C39:C40"/>
    <mergeCell ref="D39:D40"/>
    <mergeCell ref="E39:E40"/>
    <mergeCell ref="F39:F40"/>
    <mergeCell ref="H39:H40"/>
    <mergeCell ref="J39:J40"/>
    <mergeCell ref="B41:B42"/>
    <mergeCell ref="C41:C42"/>
    <mergeCell ref="D41:D42"/>
    <mergeCell ref="E41:E42"/>
    <mergeCell ref="F41:F42"/>
    <mergeCell ref="H41:H42"/>
    <mergeCell ref="J41:J42"/>
    <mergeCell ref="L43:L44"/>
    <mergeCell ref="N43:N44"/>
    <mergeCell ref="P43:P44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AN43:AN44"/>
    <mergeCell ref="BM49:BM50"/>
    <mergeCell ref="BN49:BN50"/>
    <mergeCell ref="AS49:AS50"/>
    <mergeCell ref="AT49:AT50"/>
    <mergeCell ref="AU49:AU50"/>
    <mergeCell ref="AV49:AV50"/>
    <mergeCell ref="AW49:AW50"/>
    <mergeCell ref="AX49:AX50"/>
    <mergeCell ref="BB49:BC49"/>
    <mergeCell ref="B43:B44"/>
    <mergeCell ref="C43:C44"/>
    <mergeCell ref="D43:D44"/>
    <mergeCell ref="E43:E44"/>
    <mergeCell ref="F43:F44"/>
    <mergeCell ref="H43:H44"/>
    <mergeCell ref="J43:J44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AD47:AD48"/>
    <mergeCell ref="AE47:AE48"/>
    <mergeCell ref="AF47:AF48"/>
    <mergeCell ref="AG47:AG48"/>
    <mergeCell ref="BW47:BW48"/>
    <mergeCell ref="BX47:BX48"/>
    <mergeCell ref="BR49:BR50"/>
    <mergeCell ref="BS49:BS50"/>
    <mergeCell ref="BW49:BW50"/>
    <mergeCell ref="BX49:BX50"/>
    <mergeCell ref="L49:L50"/>
    <mergeCell ref="N49:N50"/>
    <mergeCell ref="P49:P50"/>
    <mergeCell ref="R49:R50"/>
    <mergeCell ref="T49:T50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B45:B46"/>
    <mergeCell ref="C45:C46"/>
    <mergeCell ref="D45:D46"/>
    <mergeCell ref="E45:E46"/>
    <mergeCell ref="F45:F46"/>
    <mergeCell ref="H45:H46"/>
    <mergeCell ref="J45:J46"/>
    <mergeCell ref="AJ53:AJ54"/>
    <mergeCell ref="AK53:AK54"/>
    <mergeCell ref="AC53:AC54"/>
    <mergeCell ref="AD53:AD54"/>
    <mergeCell ref="AE53:AE54"/>
    <mergeCell ref="AF53:AF54"/>
    <mergeCell ref="AG53:AG54"/>
    <mergeCell ref="AH53:AH54"/>
    <mergeCell ref="AI53:AI54"/>
    <mergeCell ref="AS53:AS54"/>
    <mergeCell ref="AT53:AT54"/>
    <mergeCell ref="BX53:BX54"/>
    <mergeCell ref="AL53:AL54"/>
    <mergeCell ref="AM53:AM54"/>
    <mergeCell ref="AN53:AN54"/>
    <mergeCell ref="AO53:AO54"/>
    <mergeCell ref="AP53:AP54"/>
    <mergeCell ref="AQ53:AQ54"/>
    <mergeCell ref="AR53:AR54"/>
    <mergeCell ref="AO55:AO56"/>
    <mergeCell ref="AP55:AP56"/>
    <mergeCell ref="AQ55:AQ56"/>
    <mergeCell ref="AR55:AR56"/>
    <mergeCell ref="AS55:AS56"/>
    <mergeCell ref="AT55:AT56"/>
    <mergeCell ref="AU55:AU56"/>
    <mergeCell ref="CE55:CE56"/>
    <mergeCell ref="CF55:CF56"/>
    <mergeCell ref="CO55:CO56"/>
    <mergeCell ref="CP55:CP56"/>
    <mergeCell ref="CT55:CT56"/>
    <mergeCell ref="CU55:CU56"/>
    <mergeCell ref="CY55:CY56"/>
    <mergeCell ref="CZ55:CZ56"/>
    <mergeCell ref="AV55:AV56"/>
    <mergeCell ref="AW55:AW56"/>
    <mergeCell ref="AX55:AX56"/>
    <mergeCell ref="BM55:BM56"/>
    <mergeCell ref="BN55:BN56"/>
    <mergeCell ref="BR55:BR56"/>
    <mergeCell ref="BS55:BS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Z53:Z54"/>
    <mergeCell ref="AB53:AB54"/>
    <mergeCell ref="L53:L54"/>
    <mergeCell ref="N53:N54"/>
    <mergeCell ref="P53:P54"/>
    <mergeCell ref="R53:R54"/>
    <mergeCell ref="T53:T54"/>
    <mergeCell ref="V53:V54"/>
    <mergeCell ref="X53:X54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BW55:BW56"/>
    <mergeCell ref="BX55:BX56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AD63:AD64"/>
    <mergeCell ref="AE63:AE64"/>
    <mergeCell ref="AF63:AF64"/>
    <mergeCell ref="AG63:AG64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CT65:CT66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Z65:CZ66"/>
    <mergeCell ref="CU67:CU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AS71:AS72"/>
    <mergeCell ref="AT71:AT72"/>
    <mergeCell ref="AU71:AU72"/>
    <mergeCell ref="AV71:AV72"/>
    <mergeCell ref="AW71:AW72"/>
    <mergeCell ref="AX71:AX72"/>
    <mergeCell ref="BM71:BM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BS69:BS70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L51:L52"/>
    <mergeCell ref="N51:N52"/>
    <mergeCell ref="P51:P52"/>
    <mergeCell ref="R51:R52"/>
    <mergeCell ref="T51:T52"/>
    <mergeCell ref="V51:V52"/>
    <mergeCell ref="X51:X52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AQ63:AQ64"/>
    <mergeCell ref="AR63:AR64"/>
    <mergeCell ref="AJ63:AJ64"/>
    <mergeCell ref="AK63:AK64"/>
    <mergeCell ref="AL63:AL64"/>
    <mergeCell ref="AM63:AM64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AP73:AP74"/>
    <mergeCell ref="AQ73:AQ74"/>
    <mergeCell ref="AR73:AR74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CF117:CF118"/>
    <mergeCell ref="CO117:CO118"/>
    <mergeCell ref="CP117:CP118"/>
    <mergeCell ref="CT117:CT118"/>
    <mergeCell ref="CU117:CU11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N115:BN116"/>
    <mergeCell ref="BR115:BR116"/>
    <mergeCell ref="AS115:AS116"/>
    <mergeCell ref="AT115:AT116"/>
    <mergeCell ref="AU115:AU116"/>
    <mergeCell ref="AV115:AV116"/>
    <mergeCell ref="AW115:AW116"/>
    <mergeCell ref="AX115:AX116"/>
    <mergeCell ref="BM115:BM116"/>
    <mergeCell ref="B109:B110"/>
    <mergeCell ref="C109:C110"/>
    <mergeCell ref="D109:D110"/>
    <mergeCell ref="E109:E110"/>
    <mergeCell ref="F109:F110"/>
    <mergeCell ref="H109:H110"/>
    <mergeCell ref="J109:J110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K121:AK122"/>
    <mergeCell ref="AL121:AL122"/>
    <mergeCell ref="AM121:AM122"/>
    <mergeCell ref="AN121:AN122"/>
    <mergeCell ref="AV121:AV122"/>
    <mergeCell ref="AW121:AW122"/>
    <mergeCell ref="AX121:AX122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AT123:AT124"/>
    <mergeCell ref="AU123:AU124"/>
    <mergeCell ref="AV123:AV124"/>
    <mergeCell ref="AW123:AW124"/>
    <mergeCell ref="AX123:AX124"/>
    <mergeCell ref="AO121:AO122"/>
    <mergeCell ref="AP121:AP122"/>
    <mergeCell ref="AQ121:AQ122"/>
    <mergeCell ref="AR121:AR122"/>
    <mergeCell ref="AS121:AS122"/>
    <mergeCell ref="AT121:AT122"/>
    <mergeCell ref="AU121:AU122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BS127:BS128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CF85:CF86"/>
    <mergeCell ref="CO85:CO86"/>
    <mergeCell ref="CP85:CP86"/>
    <mergeCell ref="CT85:CT86"/>
    <mergeCell ref="CU85:CU86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N83:BN84"/>
    <mergeCell ref="BR83:BR84"/>
    <mergeCell ref="AS83:AS84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W81:BW82"/>
    <mergeCell ref="BX81:BX82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B79:B80"/>
    <mergeCell ref="C79:C80"/>
    <mergeCell ref="D79:D80"/>
    <mergeCell ref="E79:E80"/>
    <mergeCell ref="F79:F8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CT105:CT106"/>
    <mergeCell ref="CU105:CU106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W101:BW102"/>
    <mergeCell ref="BX101:BX102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B99:B100"/>
    <mergeCell ref="C99:C100"/>
    <mergeCell ref="D99:D100"/>
    <mergeCell ref="E99:E100"/>
    <mergeCell ref="F99:F100"/>
    <mergeCell ref="H99:H100"/>
    <mergeCell ref="J99:J100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</mergeCells>
  <conditionalFormatting sqref="AD2:AD29 AD31:AD148 AD154:AD164">
    <cfRule type="cellIs" dxfId="0" priority="1" operator="equal">
      <formula>1</formula>
    </cfRule>
  </conditionalFormatting>
  <conditionalFormatting sqref="AD2:AD29 AD31:AD148 AD154:AD164">
    <cfRule type="cellIs" dxfId="1" priority="2" operator="equal">
      <formula>2</formula>
    </cfRule>
  </conditionalFormatting>
  <conditionalFormatting sqref="AD2:AD29 AD31:AD148 AD154:AD164">
    <cfRule type="cellIs" dxfId="2" priority="3" operator="equal">
      <formula>3</formula>
    </cfRule>
  </conditionalFormatting>
  <conditionalFormatting sqref="T2:T29 V5:V29 T31:T164 V31:V148">
    <cfRule type="containsText" dxfId="3" priority="4" operator="containsText" text="Б1">
      <formula>NOT(ISERROR(SEARCH(("Б1"),(T2))))</formula>
    </cfRule>
  </conditionalFormatting>
  <conditionalFormatting sqref="T2:T29 V5:V29 T31:T164 V31:V148">
    <cfRule type="cellIs" dxfId="4" priority="5" operator="equal">
      <formula>"А1"</formula>
    </cfRule>
  </conditionalFormatting>
  <conditionalFormatting sqref="T2:T29 V5:V29 T31:T164 V31:V148">
    <cfRule type="cellIs" dxfId="5" priority="6" operator="equal">
      <formula>"А2"</formula>
    </cfRule>
  </conditionalFormatting>
  <conditionalFormatting sqref="T2:T29 V5:V29 T31:T164 V31:V148">
    <cfRule type="cellIs" dxfId="5" priority="7" operator="equal">
      <formula>"Б2"</formula>
    </cfRule>
  </conditionalFormatting>
  <conditionalFormatting sqref="F6:AA29 F3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9"/>
      <c r="B1" s="286" t="str">
        <f>'Пр.взв'!C2</f>
        <v>Первенство России среди юношей и девушек 16-18 лет (отбор на первенство мира и Европы)</v>
      </c>
      <c r="C1" s="56"/>
      <c r="D1" s="56"/>
      <c r="E1" s="56"/>
      <c r="F1" s="56"/>
      <c r="G1" s="56"/>
      <c r="H1" s="56"/>
      <c r="I1" s="56"/>
      <c r="J1" s="59"/>
    </row>
    <row r="2" ht="27.0" customHeight="1">
      <c r="A2" s="49"/>
      <c r="B2" s="287"/>
      <c r="C2" s="287"/>
      <c r="D2" s="288" t="s">
        <v>201</v>
      </c>
      <c r="E2" s="56"/>
      <c r="F2" s="56"/>
      <c r="G2" s="59"/>
      <c r="H2" s="289"/>
      <c r="I2" s="289"/>
      <c r="J2" s="289"/>
    </row>
    <row r="3">
      <c r="A3" s="49"/>
      <c r="B3" s="290"/>
      <c r="C3" s="291" t="s">
        <v>202</v>
      </c>
      <c r="D3" s="292" t="str">
        <f>'Пр.хода'!Z3</f>
        <v>В.к.  44  кг</v>
      </c>
      <c r="H3" s="293"/>
      <c r="I3" s="293"/>
      <c r="J3" s="293"/>
    </row>
    <row r="4">
      <c r="A4" s="200"/>
      <c r="B4" s="294" t="s">
        <v>9</v>
      </c>
      <c r="C4" s="295" t="s">
        <v>10</v>
      </c>
      <c r="D4" s="296" t="s">
        <v>12</v>
      </c>
      <c r="E4" s="296" t="s">
        <v>203</v>
      </c>
      <c r="F4" s="297"/>
      <c r="G4" s="295" t="s">
        <v>204</v>
      </c>
      <c r="H4" s="298" t="s">
        <v>205</v>
      </c>
      <c r="I4" s="295" t="s">
        <v>206</v>
      </c>
      <c r="J4" s="299" t="s">
        <v>207</v>
      </c>
    </row>
    <row r="5" ht="12.75" customHeight="1">
      <c r="B5" s="257"/>
      <c r="C5" s="108"/>
      <c r="D5" s="107"/>
      <c r="E5" s="107"/>
      <c r="F5" s="106"/>
      <c r="G5" s="108"/>
      <c r="H5" s="107"/>
      <c r="I5" s="108"/>
      <c r="J5" s="300"/>
    </row>
    <row r="6" ht="27.75" customHeight="1">
      <c r="A6" s="74"/>
      <c r="B6" s="301" t="str">
        <f>'Пр.хода'!AZ6</f>
        <v>#N/A</v>
      </c>
      <c r="C6" s="302" t="str">
        <f>IF(B6=0,"",(VLOOKUP($B6,'Пр.взв'!$D$6:$J$63,2,0)))</f>
        <v>#N/A</v>
      </c>
      <c r="D6" s="303" t="str">
        <f>IF(B6=0,"",(VLOOKUP($B6,'Пр.взв'!$D$6:$J$63,5,0)))</f>
        <v>#N/A</v>
      </c>
      <c r="E6" s="302" t="str">
        <f>IF(B6=0,"",(VLOOKUP($B6,'Пр.взв'!$D$6:$M$63,6,0)))</f>
        <v>#N/A</v>
      </c>
      <c r="F6" s="302" t="str">
        <f>IF(B6=0,"",(VLOOKUP($B6,'Пр.взв'!$D$6:$M$63,8,0)))</f>
        <v>#N/A</v>
      </c>
      <c r="G6" s="304"/>
      <c r="H6" s="304"/>
      <c r="I6" s="304"/>
      <c r="J6" s="305"/>
    </row>
    <row r="7" ht="27.75" customHeight="1">
      <c r="A7" s="74"/>
      <c r="B7" s="306" t="str">
        <f>'Пр.хода'!AZ7</f>
        <v>#N/A</v>
      </c>
      <c r="C7" s="307" t="str">
        <f>IF(B7=0,"",(VLOOKUP($B7,'Пр.взв'!$D$6:$J$63,2,0)))</f>
        <v>#N/A</v>
      </c>
      <c r="D7" s="308" t="str">
        <f>IF(B7=0,"",(VLOOKUP($B7,'Пр.взв'!$D$6:$J$63,5,0)))</f>
        <v>#N/A</v>
      </c>
      <c r="E7" s="307" t="str">
        <f>IF(B7=0,"",(VLOOKUP($B7,'Пр.взв'!$D$6:$M$63,6,0)))</f>
        <v>#N/A</v>
      </c>
      <c r="F7" s="307" t="str">
        <f>IF(B7=0,"",(VLOOKUP($B7,'Пр.взв'!$D$6:$M$63,8,0)))</f>
        <v>#N/A</v>
      </c>
      <c r="G7" s="309"/>
      <c r="H7" s="309"/>
      <c r="I7" s="309"/>
      <c r="J7" s="310"/>
    </row>
    <row r="8" ht="31.5" customHeight="1">
      <c r="B8" s="311" t="s">
        <v>208</v>
      </c>
      <c r="E8" s="49"/>
      <c r="F8" s="49"/>
      <c r="G8" s="49"/>
      <c r="H8" s="49"/>
      <c r="I8" s="49"/>
      <c r="J8" s="49"/>
    </row>
    <row r="9" ht="31.5" customHeight="1">
      <c r="B9" s="49"/>
      <c r="C9" s="311" t="s">
        <v>209</v>
      </c>
      <c r="D9" s="312"/>
      <c r="E9" s="312"/>
      <c r="F9" s="312"/>
      <c r="G9" s="312"/>
      <c r="H9" s="312"/>
      <c r="I9" s="312"/>
      <c r="J9" s="312"/>
    </row>
    <row r="10" ht="31.5" customHeight="1">
      <c r="B10" s="49"/>
      <c r="C10" s="311" t="s">
        <v>210</v>
      </c>
      <c r="D10" s="313"/>
      <c r="E10" s="313"/>
      <c r="F10" s="313"/>
      <c r="G10" s="313"/>
      <c r="H10" s="313"/>
      <c r="I10" s="313"/>
      <c r="J10" s="313"/>
    </row>
    <row r="11">
      <c r="D11" s="282"/>
    </row>
    <row r="12">
      <c r="A12" s="49"/>
      <c r="B12" s="286" t="str">
        <f>B1</f>
        <v>Первенство России среди юношей и девушек 16-18 лет (отбор на первенство мира и Европы)</v>
      </c>
      <c r="C12" s="56"/>
      <c r="D12" s="56"/>
      <c r="E12" s="56"/>
      <c r="F12" s="56"/>
      <c r="G12" s="56"/>
      <c r="H12" s="56"/>
      <c r="I12" s="56"/>
      <c r="J12" s="59"/>
    </row>
    <row r="13">
      <c r="A13" s="49"/>
      <c r="B13" s="287"/>
      <c r="C13" s="287"/>
      <c r="D13" s="288" t="s">
        <v>201</v>
      </c>
      <c r="E13" s="56"/>
      <c r="F13" s="56"/>
      <c r="G13" s="59"/>
      <c r="H13" s="289"/>
      <c r="I13" s="289"/>
      <c r="J13" s="289"/>
    </row>
    <row r="14">
      <c r="A14" s="49"/>
      <c r="B14" s="290"/>
      <c r="C14" s="291" t="s">
        <v>211</v>
      </c>
      <c r="D14" s="292" t="str">
        <f>D3</f>
        <v>В.к.  44  кг</v>
      </c>
      <c r="H14" s="293"/>
      <c r="I14" s="293"/>
      <c r="J14" s="293"/>
    </row>
    <row r="15">
      <c r="A15" s="200"/>
      <c r="B15" s="294" t="s">
        <v>9</v>
      </c>
      <c r="C15" s="295" t="s">
        <v>10</v>
      </c>
      <c r="D15" s="296" t="s">
        <v>12</v>
      </c>
      <c r="E15" s="296" t="s">
        <v>203</v>
      </c>
      <c r="F15" s="297"/>
      <c r="G15" s="295" t="s">
        <v>204</v>
      </c>
      <c r="H15" s="298" t="s">
        <v>205</v>
      </c>
      <c r="I15" s="295" t="s">
        <v>206</v>
      </c>
      <c r="J15" s="299" t="s">
        <v>207</v>
      </c>
    </row>
    <row r="16">
      <c r="B16" s="257"/>
      <c r="C16" s="108"/>
      <c r="D16" s="107"/>
      <c r="E16" s="107"/>
      <c r="F16" s="106"/>
      <c r="G16" s="108"/>
      <c r="H16" s="107"/>
      <c r="I16" s="108"/>
      <c r="J16" s="300"/>
    </row>
    <row r="17" ht="27.75" customHeight="1">
      <c r="A17" s="74"/>
      <c r="B17" s="301" t="str">
        <f>'Пр.хода'!BA6</f>
        <v>#N/A</v>
      </c>
      <c r="C17" s="302" t="str">
        <f>IF(B17=0,"",(VLOOKUP($B17,'Пр.взв'!$D$6:$J$63,2,0)))</f>
        <v>#N/A</v>
      </c>
      <c r="D17" s="303" t="str">
        <f>IF(B17=0,"",(VLOOKUP($B17,'Пр.взв'!$D$6:$J$63,5,0)))</f>
        <v>#N/A</v>
      </c>
      <c r="E17" s="302" t="str">
        <f>IF(B17=0,"",(VLOOKUP($B17,'Пр.взв'!$D$6:$M$63,6,0)))</f>
        <v>#N/A</v>
      </c>
      <c r="F17" s="302" t="str">
        <f>IF(B17=0,"",(VLOOKUP($B17,'Пр.взв'!$D$6:$M$63,8,0)))</f>
        <v>#N/A</v>
      </c>
      <c r="G17" s="304"/>
      <c r="H17" s="304"/>
      <c r="I17" s="304"/>
      <c r="J17" s="305"/>
    </row>
    <row r="18" ht="27.75" customHeight="1">
      <c r="A18" s="314"/>
      <c r="B18" s="306" t="str">
        <f>'Пр.хода'!BA7</f>
        <v>#N/A</v>
      </c>
      <c r="C18" s="307" t="str">
        <f>IF(B18=0,"",(VLOOKUP($B18,'Пр.взв'!$D$6:$J$63,2,0)))</f>
        <v>#N/A</v>
      </c>
      <c r="D18" s="308" t="str">
        <f>IF(B18=0,"",(VLOOKUP($B18,'Пр.взв'!$D$6:$J$63,5,0)))</f>
        <v>#N/A</v>
      </c>
      <c r="E18" s="307" t="str">
        <f>IF(B18=0,"",(VLOOKUP($B18,'Пр.взв'!$D$6:$M$63,6,0)))</f>
        <v>#N/A</v>
      </c>
      <c r="F18" s="307" t="str">
        <f>IF(B18=0,"",(VLOOKUP($B18,'Пр.взв'!$D$6:$M$63,8,0)))</f>
        <v>#N/A</v>
      </c>
      <c r="G18" s="309"/>
      <c r="H18" s="309"/>
      <c r="I18" s="309"/>
      <c r="J18" s="310"/>
    </row>
    <row r="19" ht="31.5" customHeight="1">
      <c r="B19" s="311" t="s">
        <v>208</v>
      </c>
      <c r="E19" s="49"/>
      <c r="F19" s="49"/>
      <c r="G19" s="49"/>
      <c r="H19" s="49"/>
      <c r="I19" s="49"/>
      <c r="J19" s="49"/>
    </row>
    <row r="20" ht="31.5" customHeight="1">
      <c r="B20" s="49"/>
      <c r="C20" s="311" t="s">
        <v>209</v>
      </c>
      <c r="D20" s="312"/>
      <c r="E20" s="312"/>
      <c r="F20" s="312"/>
      <c r="G20" s="312"/>
      <c r="H20" s="312"/>
      <c r="I20" s="312"/>
      <c r="J20" s="312"/>
    </row>
    <row r="21" ht="31.5" customHeight="1">
      <c r="B21" s="49"/>
      <c r="C21" s="311" t="s">
        <v>210</v>
      </c>
      <c r="D21" s="313"/>
      <c r="E21" s="313"/>
      <c r="F21" s="313"/>
      <c r="G21" s="313"/>
      <c r="H21" s="313"/>
      <c r="I21" s="313"/>
      <c r="J21" s="313"/>
    </row>
    <row r="22" ht="31.5" customHeight="1">
      <c r="B22" s="49"/>
      <c r="C22" s="311"/>
      <c r="D22" s="49"/>
      <c r="E22" s="49"/>
      <c r="F22" s="49"/>
      <c r="G22" s="49"/>
      <c r="H22" s="49"/>
      <c r="I22" s="49"/>
      <c r="J22" s="49"/>
    </row>
    <row r="23">
      <c r="A23" s="49"/>
      <c r="B23" s="286" t="str">
        <f>B1</f>
        <v>Первенство России среди юношей и девушек 16-18 лет (отбор на первенство мира и Европы)</v>
      </c>
      <c r="C23" s="56"/>
      <c r="D23" s="56"/>
      <c r="E23" s="56"/>
      <c r="F23" s="56"/>
      <c r="G23" s="56"/>
      <c r="H23" s="56"/>
      <c r="I23" s="56"/>
      <c r="J23" s="59"/>
    </row>
    <row r="24">
      <c r="A24" s="49"/>
      <c r="B24" s="287"/>
      <c r="C24" s="287"/>
      <c r="D24" s="288" t="s">
        <v>212</v>
      </c>
      <c r="E24" s="56"/>
      <c r="F24" s="56"/>
      <c r="G24" s="59"/>
      <c r="H24" s="289"/>
      <c r="I24" s="289"/>
      <c r="J24" s="289"/>
    </row>
    <row r="25">
      <c r="A25" s="49"/>
      <c r="B25" s="290"/>
      <c r="C25" s="291"/>
      <c r="D25" s="292" t="str">
        <f>D3</f>
        <v>В.к.  44  кг</v>
      </c>
      <c r="H25" s="293"/>
      <c r="I25" s="293"/>
      <c r="J25" s="293"/>
    </row>
    <row r="26">
      <c r="A26" s="200"/>
      <c r="B26" s="294" t="s">
        <v>9</v>
      </c>
      <c r="C26" s="295" t="s">
        <v>10</v>
      </c>
      <c r="D26" s="296" t="s">
        <v>12</v>
      </c>
      <c r="E26" s="296" t="s">
        <v>203</v>
      </c>
      <c r="F26" s="297"/>
      <c r="G26" s="295" t="s">
        <v>204</v>
      </c>
      <c r="H26" s="298" t="s">
        <v>205</v>
      </c>
      <c r="I26" s="295" t="s">
        <v>206</v>
      </c>
      <c r="J26" s="299" t="s">
        <v>207</v>
      </c>
    </row>
    <row r="27">
      <c r="B27" s="257"/>
      <c r="C27" s="108"/>
      <c r="D27" s="107"/>
      <c r="E27" s="107"/>
      <c r="F27" s="106"/>
      <c r="G27" s="108"/>
      <c r="H27" s="107"/>
      <c r="I27" s="108"/>
      <c r="J27" s="300"/>
    </row>
    <row r="28" ht="27.75" customHeight="1">
      <c r="A28" s="74"/>
      <c r="B28" s="301" t="str">
        <f>'Пр.хода'!BB6</f>
        <v>#N/A</v>
      </c>
      <c r="C28" s="302" t="str">
        <f>IF(B28=0,"",(VLOOKUP($B28,'Пр.взв'!$D$6:$J$63,2,0)))</f>
        <v>#N/A</v>
      </c>
      <c r="D28" s="303" t="str">
        <f>IF(B28=0,"",(VLOOKUP($B28,'Пр.взв'!$D$6:$J$63,5,0)))</f>
        <v>#N/A</v>
      </c>
      <c r="E28" s="302" t="str">
        <f>IF(B28=0,"",(VLOOKUP($B28,'Пр.взв'!$D$6:$M$63,6,0)))</f>
        <v>#N/A</v>
      </c>
      <c r="F28" s="302" t="str">
        <f>IF(B28=0,"",(VLOOKUP($B28,'Пр.взв'!$D$6:$M$63,8,0)))</f>
        <v>#N/A</v>
      </c>
      <c r="G28" s="304"/>
      <c r="H28" s="304"/>
      <c r="I28" s="304"/>
      <c r="J28" s="305"/>
    </row>
    <row r="29" ht="27.75" customHeight="1">
      <c r="A29" s="314"/>
      <c r="B29" s="306" t="str">
        <f>'Пр.хода'!BB7</f>
        <v>#N/A</v>
      </c>
      <c r="C29" s="307" t="str">
        <f>IF(B29=0,"",(VLOOKUP($B29,'Пр.взв'!$D$6:$J$63,2,0)))</f>
        <v>#N/A</v>
      </c>
      <c r="D29" s="308" t="str">
        <f>IF(B29=0,"",(VLOOKUP($B29,'Пр.взв'!$D$6:$J$63,5,0)))</f>
        <v>#N/A</v>
      </c>
      <c r="E29" s="307" t="str">
        <f>IF(B29=0,"",(VLOOKUP($B29,'Пр.взв'!$D$6:$M$63,6,0)))</f>
        <v>#N/A</v>
      </c>
      <c r="F29" s="307" t="str">
        <f>IF(B29=0,"",(VLOOKUP($B29,'Пр.взв'!$D$6:$M$63,8,0)))</f>
        <v>#N/A</v>
      </c>
      <c r="G29" s="309"/>
      <c r="H29" s="309"/>
      <c r="I29" s="309"/>
      <c r="J29" s="310"/>
    </row>
    <row r="30" ht="31.5" customHeight="1">
      <c r="B30" s="311" t="s">
        <v>208</v>
      </c>
      <c r="E30" s="49"/>
      <c r="F30" s="49"/>
      <c r="G30" s="49"/>
      <c r="H30" s="49"/>
      <c r="I30" s="49"/>
      <c r="J30" s="49"/>
    </row>
    <row r="31" ht="31.5" customHeight="1">
      <c r="B31" s="49"/>
      <c r="C31" s="311" t="s">
        <v>209</v>
      </c>
      <c r="D31" s="312"/>
      <c r="E31" s="312"/>
      <c r="F31" s="312"/>
      <c r="G31" s="312"/>
      <c r="H31" s="312"/>
      <c r="I31" s="312"/>
      <c r="J31" s="312"/>
    </row>
    <row r="32" ht="31.5" customHeight="1">
      <c r="B32" s="49"/>
      <c r="C32" s="311" t="s">
        <v>210</v>
      </c>
      <c r="D32" s="313"/>
      <c r="E32" s="313"/>
      <c r="F32" s="313"/>
      <c r="G32" s="313"/>
      <c r="H32" s="313"/>
      <c r="I32" s="313"/>
      <c r="J32" s="313"/>
    </row>
    <row r="33">
      <c r="B33" s="49"/>
      <c r="C33" s="311"/>
      <c r="D33" s="49"/>
      <c r="E33" s="49"/>
      <c r="F33" s="49"/>
      <c r="G33" s="49"/>
      <c r="H33" s="49"/>
      <c r="I33" s="49"/>
      <c r="J33" s="49"/>
    </row>
    <row r="34">
      <c r="D34" s="282"/>
    </row>
    <row r="35">
      <c r="D35" s="282"/>
    </row>
    <row r="36">
      <c r="D36" s="282"/>
    </row>
    <row r="37">
      <c r="D37" s="282"/>
    </row>
    <row r="38">
      <c r="D38" s="282"/>
    </row>
    <row r="39">
      <c r="D39" s="282"/>
    </row>
    <row r="40">
      <c r="D40" s="282"/>
    </row>
    <row r="41">
      <c r="D41" s="282"/>
    </row>
    <row r="42">
      <c r="D42" s="282"/>
    </row>
    <row r="43">
      <c r="D43" s="282"/>
    </row>
    <row r="44">
      <c r="D44" s="282"/>
    </row>
    <row r="45">
      <c r="D45" s="282"/>
    </row>
    <row r="46">
      <c r="D46" s="282"/>
    </row>
    <row r="47">
      <c r="D47" s="282"/>
    </row>
    <row r="48">
      <c r="D48" s="282"/>
    </row>
    <row r="49">
      <c r="D49" s="282"/>
    </row>
    <row r="50">
      <c r="D50" s="282"/>
    </row>
    <row r="51">
      <c r="D51" s="282"/>
    </row>
    <row r="52">
      <c r="D52" s="282"/>
    </row>
    <row r="53">
      <c r="D53" s="282"/>
    </row>
    <row r="54">
      <c r="D54" s="282"/>
    </row>
    <row r="55">
      <c r="D55" s="282"/>
    </row>
    <row r="56">
      <c r="D56" s="282"/>
    </row>
    <row r="57">
      <c r="D57" s="282"/>
    </row>
    <row r="58">
      <c r="D58" s="282"/>
    </row>
    <row r="59">
      <c r="D59" s="282"/>
    </row>
    <row r="60">
      <c r="D60" s="282"/>
    </row>
    <row r="61">
      <c r="D61" s="282"/>
    </row>
    <row r="62">
      <c r="D62" s="282"/>
    </row>
    <row r="63">
      <c r="D63" s="282"/>
    </row>
    <row r="64">
      <c r="D64" s="282"/>
    </row>
    <row r="65">
      <c r="D65" s="282"/>
    </row>
    <row r="66">
      <c r="D66" s="282"/>
    </row>
    <row r="67">
      <c r="D67" s="282"/>
    </row>
    <row r="68">
      <c r="D68" s="282"/>
    </row>
    <row r="69">
      <c r="D69" s="282"/>
    </row>
    <row r="70">
      <c r="D70" s="282"/>
    </row>
    <row r="71">
      <c r="D71" s="282"/>
    </row>
    <row r="72">
      <c r="D72" s="282"/>
    </row>
    <row r="73">
      <c r="D73" s="282"/>
    </row>
    <row r="74">
      <c r="D74" s="282"/>
    </row>
    <row r="75">
      <c r="D75" s="282"/>
    </row>
    <row r="76">
      <c r="D76" s="282"/>
    </row>
    <row r="77">
      <c r="D77" s="282"/>
    </row>
    <row r="78">
      <c r="D78" s="282"/>
    </row>
    <row r="79">
      <c r="D79" s="282"/>
    </row>
    <row r="80">
      <c r="D80" s="282"/>
    </row>
    <row r="81">
      <c r="D81" s="282"/>
    </row>
    <row r="82">
      <c r="D82" s="282"/>
    </row>
    <row r="83">
      <c r="D83" s="282"/>
    </row>
    <row r="84">
      <c r="D84" s="282"/>
    </row>
    <row r="85">
      <c r="D85" s="282"/>
    </row>
    <row r="86">
      <c r="D86" s="282"/>
    </row>
    <row r="87">
      <c r="D87" s="282"/>
    </row>
    <row r="88">
      <c r="D88" s="282"/>
    </row>
    <row r="89">
      <c r="D89" s="282"/>
    </row>
    <row r="90">
      <c r="D90" s="282"/>
    </row>
    <row r="91">
      <c r="D91" s="282"/>
    </row>
    <row r="92">
      <c r="D92" s="282"/>
    </row>
    <row r="93">
      <c r="D93" s="282"/>
    </row>
    <row r="94">
      <c r="D94" s="282"/>
    </row>
    <row r="95">
      <c r="D95" s="282"/>
    </row>
    <row r="96">
      <c r="D96" s="282"/>
    </row>
    <row r="97">
      <c r="D97" s="282"/>
    </row>
    <row r="98">
      <c r="D98" s="282"/>
    </row>
    <row r="99">
      <c r="D99" s="282"/>
    </row>
    <row r="100">
      <c r="D100" s="282"/>
    </row>
    <row r="101">
      <c r="D101" s="282"/>
    </row>
    <row r="102">
      <c r="D102" s="282"/>
    </row>
    <row r="103">
      <c r="D103" s="282"/>
    </row>
    <row r="104">
      <c r="D104" s="282"/>
    </row>
    <row r="105">
      <c r="D105" s="282"/>
    </row>
    <row r="106">
      <c r="D106" s="282"/>
    </row>
    <row r="107">
      <c r="D107" s="282"/>
    </row>
    <row r="108">
      <c r="D108" s="282"/>
    </row>
    <row r="109">
      <c r="D109" s="282"/>
    </row>
    <row r="110">
      <c r="D110" s="282"/>
    </row>
    <row r="111">
      <c r="D111" s="282"/>
    </row>
    <row r="112">
      <c r="D112" s="282"/>
    </row>
    <row r="113">
      <c r="D113" s="282"/>
    </row>
    <row r="114">
      <c r="D114" s="282"/>
    </row>
    <row r="115">
      <c r="D115" s="282"/>
    </row>
    <row r="116">
      <c r="D116" s="282"/>
    </row>
    <row r="117">
      <c r="D117" s="282"/>
    </row>
    <row r="118">
      <c r="D118" s="282"/>
    </row>
    <row r="119">
      <c r="D119" s="282"/>
    </row>
    <row r="120">
      <c r="D120" s="282"/>
    </row>
    <row r="121">
      <c r="D121" s="282"/>
    </row>
    <row r="122">
      <c r="D122" s="282"/>
    </row>
    <row r="123">
      <c r="D123" s="282"/>
    </row>
    <row r="124">
      <c r="D124" s="282"/>
    </row>
    <row r="125">
      <c r="D125" s="282"/>
    </row>
    <row r="126">
      <c r="D126" s="282"/>
    </row>
    <row r="127">
      <c r="D127" s="282"/>
    </row>
    <row r="128">
      <c r="D128" s="282"/>
    </row>
    <row r="129">
      <c r="D129" s="282"/>
    </row>
    <row r="130">
      <c r="D130" s="282"/>
    </row>
    <row r="131">
      <c r="D131" s="282"/>
    </row>
    <row r="132">
      <c r="D132" s="282"/>
    </row>
    <row r="133">
      <c r="D133" s="282"/>
    </row>
    <row r="134">
      <c r="D134" s="282"/>
    </row>
    <row r="135">
      <c r="D135" s="282"/>
    </row>
    <row r="136">
      <c r="D136" s="282"/>
    </row>
    <row r="137">
      <c r="D137" s="282"/>
    </row>
    <row r="138">
      <c r="D138" s="282"/>
    </row>
    <row r="139">
      <c r="D139" s="282"/>
    </row>
    <row r="140">
      <c r="D140" s="282"/>
    </row>
    <row r="141">
      <c r="D141" s="282"/>
    </row>
    <row r="142">
      <c r="D142" s="282"/>
    </row>
    <row r="143">
      <c r="D143" s="282"/>
    </row>
    <row r="144">
      <c r="D144" s="282"/>
    </row>
    <row r="145">
      <c r="D145" s="282"/>
    </row>
    <row r="146">
      <c r="D146" s="282"/>
    </row>
    <row r="147">
      <c r="D147" s="282"/>
    </row>
    <row r="148">
      <c r="D148" s="282"/>
    </row>
    <row r="149">
      <c r="D149" s="282"/>
    </row>
    <row r="150">
      <c r="D150" s="282"/>
    </row>
    <row r="151">
      <c r="D151" s="282"/>
    </row>
    <row r="152">
      <c r="D152" s="282"/>
    </row>
    <row r="153">
      <c r="D153" s="282"/>
    </row>
    <row r="154">
      <c r="D154" s="282"/>
    </row>
    <row r="155">
      <c r="D155" s="282"/>
    </row>
    <row r="156">
      <c r="D156" s="282"/>
    </row>
    <row r="157">
      <c r="D157" s="282"/>
    </row>
    <row r="158">
      <c r="D158" s="282"/>
    </row>
    <row r="159">
      <c r="D159" s="282"/>
    </row>
    <row r="160">
      <c r="D160" s="282"/>
    </row>
    <row r="161">
      <c r="D161" s="282"/>
    </row>
    <row r="162">
      <c r="D162" s="282"/>
    </row>
    <row r="163">
      <c r="D163" s="282"/>
    </row>
    <row r="164">
      <c r="D164" s="282"/>
    </row>
    <row r="165">
      <c r="D165" s="282"/>
    </row>
    <row r="166">
      <c r="D166" s="282"/>
    </row>
    <row r="167">
      <c r="D167" s="282"/>
    </row>
    <row r="168">
      <c r="D168" s="282"/>
    </row>
    <row r="169">
      <c r="D169" s="282"/>
    </row>
    <row r="170">
      <c r="D170" s="282"/>
    </row>
    <row r="171">
      <c r="D171" s="282"/>
    </row>
    <row r="172">
      <c r="D172" s="282"/>
    </row>
    <row r="173">
      <c r="D173" s="282"/>
    </row>
    <row r="174">
      <c r="D174" s="282"/>
    </row>
    <row r="175">
      <c r="D175" s="282"/>
    </row>
    <row r="176">
      <c r="D176" s="282"/>
    </row>
    <row r="177">
      <c r="D177" s="282"/>
    </row>
    <row r="178">
      <c r="D178" s="282"/>
    </row>
    <row r="179">
      <c r="D179" s="282"/>
    </row>
    <row r="180">
      <c r="D180" s="282"/>
    </row>
    <row r="181">
      <c r="D181" s="282"/>
    </row>
    <row r="182">
      <c r="D182" s="282"/>
    </row>
    <row r="183">
      <c r="D183" s="282"/>
    </row>
    <row r="184">
      <c r="D184" s="282"/>
    </row>
    <row r="185">
      <c r="D185" s="282"/>
    </row>
    <row r="186">
      <c r="D186" s="282"/>
    </row>
    <row r="187">
      <c r="D187" s="282"/>
    </row>
    <row r="188">
      <c r="D188" s="282"/>
    </row>
    <row r="189">
      <c r="D189" s="282"/>
    </row>
    <row r="190">
      <c r="D190" s="282"/>
    </row>
    <row r="191">
      <c r="D191" s="282"/>
    </row>
    <row r="192">
      <c r="D192" s="282"/>
    </row>
    <row r="193">
      <c r="D193" s="282"/>
    </row>
    <row r="194">
      <c r="D194" s="282"/>
    </row>
    <row r="195">
      <c r="D195" s="282"/>
    </row>
    <row r="196">
      <c r="D196" s="282"/>
    </row>
    <row r="197">
      <c r="D197" s="282"/>
    </row>
    <row r="198">
      <c r="D198" s="282"/>
    </row>
    <row r="199">
      <c r="D199" s="282"/>
    </row>
    <row r="200">
      <c r="D200" s="282"/>
    </row>
    <row r="201">
      <c r="D201" s="282"/>
    </row>
    <row r="202">
      <c r="D202" s="282"/>
    </row>
    <row r="203">
      <c r="D203" s="282"/>
    </row>
    <row r="204">
      <c r="D204" s="282"/>
    </row>
    <row r="205">
      <c r="D205" s="282"/>
    </row>
    <row r="206">
      <c r="D206" s="282"/>
    </row>
    <row r="207">
      <c r="D207" s="282"/>
    </row>
    <row r="208">
      <c r="D208" s="282"/>
    </row>
    <row r="209">
      <c r="D209" s="282"/>
    </row>
    <row r="210">
      <c r="D210" s="282"/>
    </row>
    <row r="211">
      <c r="D211" s="282"/>
    </row>
    <row r="212">
      <c r="D212" s="282"/>
    </row>
    <row r="213">
      <c r="D213" s="282"/>
    </row>
    <row r="214">
      <c r="D214" s="282"/>
    </row>
    <row r="215">
      <c r="D215" s="282"/>
    </row>
    <row r="216">
      <c r="D216" s="282"/>
    </row>
    <row r="217">
      <c r="D217" s="282"/>
    </row>
    <row r="218">
      <c r="D218" s="282"/>
    </row>
    <row r="219">
      <c r="D219" s="282"/>
    </row>
    <row r="220">
      <c r="D220" s="282"/>
    </row>
    <row r="221">
      <c r="D221" s="282"/>
    </row>
    <row r="222">
      <c r="D222" s="282"/>
    </row>
    <row r="223">
      <c r="D223" s="282"/>
    </row>
    <row r="224">
      <c r="D224" s="282"/>
    </row>
    <row r="225">
      <c r="D225" s="282"/>
    </row>
    <row r="226">
      <c r="D226" s="282"/>
    </row>
    <row r="227">
      <c r="D227" s="282"/>
    </row>
    <row r="228">
      <c r="D228" s="282"/>
    </row>
    <row r="229">
      <c r="D229" s="282"/>
    </row>
    <row r="230">
      <c r="D230" s="282"/>
    </row>
    <row r="231">
      <c r="D231" s="282"/>
    </row>
    <row r="232">
      <c r="D232" s="282"/>
    </row>
    <row r="233">
      <c r="D233" s="282"/>
    </row>
    <row r="234">
      <c r="D234" s="282"/>
    </row>
    <row r="235">
      <c r="D235" s="282"/>
    </row>
    <row r="236">
      <c r="D236" s="282"/>
    </row>
    <row r="237">
      <c r="D237" s="282"/>
    </row>
    <row r="238">
      <c r="D238" s="282"/>
    </row>
    <row r="239">
      <c r="D239" s="282"/>
    </row>
    <row r="240">
      <c r="D240" s="282"/>
    </row>
    <row r="241">
      <c r="D241" s="282"/>
    </row>
    <row r="242">
      <c r="D242" s="282"/>
    </row>
    <row r="243">
      <c r="D243" s="282"/>
    </row>
    <row r="244">
      <c r="D244" s="282"/>
    </row>
    <row r="245">
      <c r="D245" s="282"/>
    </row>
    <row r="246">
      <c r="D246" s="282"/>
    </row>
    <row r="247">
      <c r="D247" s="282"/>
    </row>
    <row r="248">
      <c r="D248" s="282"/>
    </row>
    <row r="249">
      <c r="D249" s="282"/>
    </row>
    <row r="250">
      <c r="D250" s="282"/>
    </row>
    <row r="251">
      <c r="D251" s="282"/>
    </row>
    <row r="252">
      <c r="D252" s="282"/>
    </row>
    <row r="253">
      <c r="D253" s="282"/>
    </row>
    <row r="254">
      <c r="D254" s="282"/>
    </row>
    <row r="255">
      <c r="D255" s="282"/>
    </row>
    <row r="256">
      <c r="D256" s="282"/>
    </row>
    <row r="257">
      <c r="D257" s="282"/>
    </row>
    <row r="258">
      <c r="D258" s="282"/>
    </row>
    <row r="259">
      <c r="D259" s="282"/>
    </row>
    <row r="260">
      <c r="D260" s="282"/>
    </row>
    <row r="261">
      <c r="D261" s="282"/>
    </row>
    <row r="262">
      <c r="D262" s="282"/>
    </row>
    <row r="263">
      <c r="D263" s="282"/>
    </row>
    <row r="264">
      <c r="D264" s="282"/>
    </row>
    <row r="265">
      <c r="D265" s="282"/>
    </row>
    <row r="266">
      <c r="D266" s="282"/>
    </row>
    <row r="267">
      <c r="D267" s="282"/>
    </row>
    <row r="268">
      <c r="D268" s="282"/>
    </row>
    <row r="269">
      <c r="D269" s="282"/>
    </row>
    <row r="270">
      <c r="D270" s="282"/>
    </row>
    <row r="271">
      <c r="D271" s="282"/>
    </row>
    <row r="272">
      <c r="D272" s="282"/>
    </row>
    <row r="273">
      <c r="D273" s="282"/>
    </row>
    <row r="274">
      <c r="D274" s="282"/>
    </row>
    <row r="275">
      <c r="D275" s="282"/>
    </row>
    <row r="276">
      <c r="D276" s="282"/>
    </row>
    <row r="277">
      <c r="D277" s="282"/>
    </row>
    <row r="278">
      <c r="D278" s="282"/>
    </row>
    <row r="279">
      <c r="D279" s="282"/>
    </row>
    <row r="280">
      <c r="D280" s="282"/>
    </row>
    <row r="281">
      <c r="D281" s="282"/>
    </row>
    <row r="282">
      <c r="D282" s="282"/>
    </row>
    <row r="283">
      <c r="D283" s="282"/>
    </row>
    <row r="284">
      <c r="D284" s="282"/>
    </row>
    <row r="285">
      <c r="D285" s="282"/>
    </row>
    <row r="286">
      <c r="D286" s="282"/>
    </row>
    <row r="287">
      <c r="D287" s="282"/>
    </row>
    <row r="288">
      <c r="D288" s="282"/>
    </row>
    <row r="289">
      <c r="D289" s="282"/>
    </row>
    <row r="290">
      <c r="D290" s="282"/>
    </row>
    <row r="291">
      <c r="D291" s="282"/>
    </row>
    <row r="292">
      <c r="D292" s="282"/>
    </row>
    <row r="293">
      <c r="D293" s="282"/>
    </row>
    <row r="294">
      <c r="D294" s="282"/>
    </row>
    <row r="295">
      <c r="D295" s="282"/>
    </row>
    <row r="296">
      <c r="D296" s="282"/>
    </row>
    <row r="297">
      <c r="D297" s="282"/>
    </row>
    <row r="298">
      <c r="D298" s="282"/>
    </row>
    <row r="299">
      <c r="D299" s="282"/>
    </row>
    <row r="300">
      <c r="D300" s="282"/>
    </row>
    <row r="301">
      <c r="D301" s="282"/>
    </row>
    <row r="302">
      <c r="D302" s="282"/>
    </row>
    <row r="303">
      <c r="D303" s="282"/>
    </row>
    <row r="304">
      <c r="D304" s="282"/>
    </row>
    <row r="305">
      <c r="D305" s="282"/>
    </row>
    <row r="306">
      <c r="D306" s="282"/>
    </row>
    <row r="307">
      <c r="D307" s="282"/>
    </row>
    <row r="308">
      <c r="D308" s="282"/>
    </row>
    <row r="309">
      <c r="D309" s="282"/>
    </row>
    <row r="310">
      <c r="D310" s="282"/>
    </row>
    <row r="311">
      <c r="D311" s="282"/>
    </row>
    <row r="312">
      <c r="D312" s="282"/>
    </row>
    <row r="313">
      <c r="D313" s="282"/>
    </row>
    <row r="314">
      <c r="D314" s="282"/>
    </row>
    <row r="315">
      <c r="D315" s="282"/>
    </row>
    <row r="316">
      <c r="D316" s="282"/>
    </row>
    <row r="317">
      <c r="D317" s="282"/>
    </row>
    <row r="318">
      <c r="D318" s="282"/>
    </row>
    <row r="319">
      <c r="D319" s="282"/>
    </row>
    <row r="320">
      <c r="D320" s="282"/>
    </row>
    <row r="321">
      <c r="D321" s="282"/>
    </row>
    <row r="322">
      <c r="D322" s="282"/>
    </row>
    <row r="323">
      <c r="D323" s="282"/>
    </row>
    <row r="324">
      <c r="D324" s="282"/>
    </row>
    <row r="325">
      <c r="D325" s="282"/>
    </row>
    <row r="326">
      <c r="D326" s="282"/>
    </row>
    <row r="327">
      <c r="D327" s="282"/>
    </row>
    <row r="328">
      <c r="D328" s="282"/>
    </row>
    <row r="329">
      <c r="D329" s="282"/>
    </row>
    <row r="330">
      <c r="D330" s="282"/>
    </row>
    <row r="331">
      <c r="D331" s="282"/>
    </row>
    <row r="332">
      <c r="D332" s="282"/>
    </row>
    <row r="333">
      <c r="D333" s="282"/>
    </row>
    <row r="334">
      <c r="D334" s="282"/>
    </row>
    <row r="335">
      <c r="D335" s="282"/>
    </row>
    <row r="336">
      <c r="D336" s="282"/>
    </row>
    <row r="337">
      <c r="D337" s="282"/>
    </row>
    <row r="338">
      <c r="D338" s="282"/>
    </row>
    <row r="339">
      <c r="D339" s="282"/>
    </row>
    <row r="340">
      <c r="D340" s="282"/>
    </row>
    <row r="341">
      <c r="D341" s="282"/>
    </row>
    <row r="342">
      <c r="D342" s="282"/>
    </row>
    <row r="343">
      <c r="D343" s="282"/>
    </row>
    <row r="344">
      <c r="D344" s="282"/>
    </row>
    <row r="345">
      <c r="D345" s="282"/>
    </row>
    <row r="346">
      <c r="D346" s="282"/>
    </row>
    <row r="347">
      <c r="D347" s="282"/>
    </row>
    <row r="348">
      <c r="D348" s="282"/>
    </row>
    <row r="349">
      <c r="D349" s="282"/>
    </row>
    <row r="350">
      <c r="D350" s="282"/>
    </row>
    <row r="351">
      <c r="D351" s="282"/>
    </row>
    <row r="352">
      <c r="D352" s="282"/>
    </row>
    <row r="353">
      <c r="D353" s="282"/>
    </row>
    <row r="354">
      <c r="D354" s="282"/>
    </row>
    <row r="355">
      <c r="D355" s="282"/>
    </row>
    <row r="356">
      <c r="D356" s="282"/>
    </row>
    <row r="357">
      <c r="D357" s="282"/>
    </row>
    <row r="358">
      <c r="D358" s="282"/>
    </row>
    <row r="359">
      <c r="D359" s="282"/>
    </row>
    <row r="360">
      <c r="D360" s="282"/>
    </row>
    <row r="361">
      <c r="D361" s="282"/>
    </row>
    <row r="362">
      <c r="D362" s="282"/>
    </row>
    <row r="363">
      <c r="D363" s="282"/>
    </row>
    <row r="364">
      <c r="D364" s="282"/>
    </row>
    <row r="365">
      <c r="D365" s="282"/>
    </row>
    <row r="366">
      <c r="D366" s="282"/>
    </row>
    <row r="367">
      <c r="D367" s="282"/>
    </row>
    <row r="368">
      <c r="D368" s="282"/>
    </row>
    <row r="369">
      <c r="D369" s="282"/>
    </row>
    <row r="370">
      <c r="D370" s="282"/>
    </row>
    <row r="371">
      <c r="D371" s="282"/>
    </row>
    <row r="372">
      <c r="D372" s="282"/>
    </row>
    <row r="373">
      <c r="D373" s="282"/>
    </row>
    <row r="374">
      <c r="D374" s="282"/>
    </row>
    <row r="375">
      <c r="D375" s="282"/>
    </row>
    <row r="376">
      <c r="D376" s="282"/>
    </row>
    <row r="377">
      <c r="D377" s="282"/>
    </row>
    <row r="378">
      <c r="D378" s="282"/>
    </row>
    <row r="379">
      <c r="D379" s="282"/>
    </row>
    <row r="380">
      <c r="D380" s="282"/>
    </row>
    <row r="381">
      <c r="D381" s="282"/>
    </row>
    <row r="382">
      <c r="D382" s="282"/>
    </row>
    <row r="383">
      <c r="D383" s="282"/>
    </row>
    <row r="384">
      <c r="D384" s="282"/>
    </row>
    <row r="385">
      <c r="D385" s="282"/>
    </row>
    <row r="386">
      <c r="D386" s="282"/>
    </row>
    <row r="387">
      <c r="D387" s="282"/>
    </row>
    <row r="388">
      <c r="D388" s="282"/>
    </row>
    <row r="389">
      <c r="D389" s="282"/>
    </row>
    <row r="390">
      <c r="D390" s="282"/>
    </row>
    <row r="391">
      <c r="D391" s="282"/>
    </row>
    <row r="392">
      <c r="D392" s="282"/>
    </row>
    <row r="393">
      <c r="D393" s="282"/>
    </row>
    <row r="394">
      <c r="D394" s="282"/>
    </row>
    <row r="395">
      <c r="D395" s="282"/>
    </row>
    <row r="396">
      <c r="D396" s="282"/>
    </row>
    <row r="397">
      <c r="D397" s="282"/>
    </row>
    <row r="398">
      <c r="D398" s="282"/>
    </row>
    <row r="399">
      <c r="D399" s="282"/>
    </row>
    <row r="400">
      <c r="D400" s="282"/>
    </row>
    <row r="401">
      <c r="D401" s="282"/>
    </row>
    <row r="402">
      <c r="D402" s="282"/>
    </row>
    <row r="403">
      <c r="D403" s="282"/>
    </row>
    <row r="404">
      <c r="D404" s="282"/>
    </row>
    <row r="405">
      <c r="D405" s="282"/>
    </row>
    <row r="406">
      <c r="D406" s="282"/>
    </row>
    <row r="407">
      <c r="D407" s="282"/>
    </row>
    <row r="408">
      <c r="D408" s="282"/>
    </row>
    <row r="409">
      <c r="D409" s="282"/>
    </row>
    <row r="410">
      <c r="D410" s="282"/>
    </row>
    <row r="411">
      <c r="D411" s="282"/>
    </row>
    <row r="412">
      <c r="D412" s="282"/>
    </row>
    <row r="413">
      <c r="D413" s="282"/>
    </row>
    <row r="414">
      <c r="D414" s="282"/>
    </row>
    <row r="415">
      <c r="D415" s="282"/>
    </row>
    <row r="416">
      <c r="D416" s="282"/>
    </row>
    <row r="417">
      <c r="D417" s="282"/>
    </row>
    <row r="418">
      <c r="D418" s="282"/>
    </row>
    <row r="419">
      <c r="D419" s="282"/>
    </row>
    <row r="420">
      <c r="D420" s="282"/>
    </row>
    <row r="421">
      <c r="D421" s="282"/>
    </row>
    <row r="422">
      <c r="D422" s="282"/>
    </row>
    <row r="423">
      <c r="D423" s="282"/>
    </row>
    <row r="424">
      <c r="D424" s="282"/>
    </row>
    <row r="425">
      <c r="D425" s="282"/>
    </row>
    <row r="426">
      <c r="D426" s="282"/>
    </row>
    <row r="427">
      <c r="D427" s="282"/>
    </row>
    <row r="428">
      <c r="D428" s="282"/>
    </row>
    <row r="429">
      <c r="D429" s="282"/>
    </row>
    <row r="430">
      <c r="D430" s="282"/>
    </row>
    <row r="431">
      <c r="D431" s="282"/>
    </row>
    <row r="432">
      <c r="D432" s="282"/>
    </row>
    <row r="433">
      <c r="D433" s="282"/>
    </row>
    <row r="434">
      <c r="D434" s="282"/>
    </row>
    <row r="435">
      <c r="D435" s="282"/>
    </row>
    <row r="436">
      <c r="D436" s="282"/>
    </row>
    <row r="437">
      <c r="D437" s="282"/>
    </row>
    <row r="438">
      <c r="D438" s="282"/>
    </row>
    <row r="439">
      <c r="D439" s="282"/>
    </row>
    <row r="440">
      <c r="D440" s="282"/>
    </row>
    <row r="441">
      <c r="D441" s="282"/>
    </row>
    <row r="442">
      <c r="D442" s="282"/>
    </row>
    <row r="443">
      <c r="D443" s="282"/>
    </row>
    <row r="444">
      <c r="D444" s="282"/>
    </row>
    <row r="445">
      <c r="D445" s="282"/>
    </row>
    <row r="446">
      <c r="D446" s="282"/>
    </row>
    <row r="447">
      <c r="D447" s="282"/>
    </row>
    <row r="448">
      <c r="D448" s="282"/>
    </row>
    <row r="449">
      <c r="D449" s="282"/>
    </row>
    <row r="450">
      <c r="D450" s="282"/>
    </row>
    <row r="451">
      <c r="D451" s="282"/>
    </row>
    <row r="452">
      <c r="D452" s="282"/>
    </row>
    <row r="453">
      <c r="D453" s="282"/>
    </row>
    <row r="454">
      <c r="D454" s="282"/>
    </row>
    <row r="455">
      <c r="D455" s="282"/>
    </row>
    <row r="456">
      <c r="D456" s="282"/>
    </row>
    <row r="457">
      <c r="D457" s="282"/>
    </row>
    <row r="458">
      <c r="D458" s="282"/>
    </row>
    <row r="459">
      <c r="D459" s="282"/>
    </row>
    <row r="460">
      <c r="D460" s="282"/>
    </row>
    <row r="461">
      <c r="D461" s="282"/>
    </row>
    <row r="462">
      <c r="D462" s="282"/>
    </row>
    <row r="463">
      <c r="D463" s="282"/>
    </row>
    <row r="464">
      <c r="D464" s="282"/>
    </row>
    <row r="465">
      <c r="D465" s="282"/>
    </row>
    <row r="466">
      <c r="D466" s="282"/>
    </row>
    <row r="467">
      <c r="D467" s="282"/>
    </row>
    <row r="468">
      <c r="D468" s="282"/>
    </row>
    <row r="469">
      <c r="D469" s="282"/>
    </row>
    <row r="470">
      <c r="D470" s="282"/>
    </row>
    <row r="471">
      <c r="D471" s="282"/>
    </row>
    <row r="472">
      <c r="D472" s="282"/>
    </row>
    <row r="473">
      <c r="D473" s="282"/>
    </row>
    <row r="474">
      <c r="D474" s="282"/>
    </row>
    <row r="475">
      <c r="D475" s="282"/>
    </row>
    <row r="476">
      <c r="D476" s="282"/>
    </row>
    <row r="477">
      <c r="D477" s="282"/>
    </row>
    <row r="478">
      <c r="D478" s="282"/>
    </row>
    <row r="479">
      <c r="D479" s="282"/>
    </row>
    <row r="480">
      <c r="D480" s="282"/>
    </row>
    <row r="481">
      <c r="D481" s="282"/>
    </row>
    <row r="482">
      <c r="D482" s="282"/>
    </row>
    <row r="483">
      <c r="D483" s="282"/>
    </row>
    <row r="484">
      <c r="D484" s="282"/>
    </row>
    <row r="485">
      <c r="D485" s="282"/>
    </row>
    <row r="486">
      <c r="D486" s="282"/>
    </row>
    <row r="487">
      <c r="D487" s="282"/>
    </row>
    <row r="488">
      <c r="D488" s="282"/>
    </row>
    <row r="489">
      <c r="D489" s="282"/>
    </row>
    <row r="490">
      <c r="D490" s="282"/>
    </row>
    <row r="491">
      <c r="D491" s="282"/>
    </row>
    <row r="492">
      <c r="D492" s="282"/>
    </row>
    <row r="493">
      <c r="D493" s="282"/>
    </row>
    <row r="494">
      <c r="D494" s="282"/>
    </row>
    <row r="495">
      <c r="D495" s="282"/>
    </row>
    <row r="496">
      <c r="D496" s="282"/>
    </row>
    <row r="497">
      <c r="D497" s="282"/>
    </row>
    <row r="498">
      <c r="D498" s="282"/>
    </row>
    <row r="499">
      <c r="D499" s="282"/>
    </row>
    <row r="500">
      <c r="D500" s="282"/>
    </row>
    <row r="501">
      <c r="D501" s="282"/>
    </row>
    <row r="502">
      <c r="D502" s="282"/>
    </row>
    <row r="503">
      <c r="D503" s="282"/>
    </row>
    <row r="504">
      <c r="D504" s="282"/>
    </row>
    <row r="505">
      <c r="D505" s="282"/>
    </row>
    <row r="506">
      <c r="D506" s="282"/>
    </row>
    <row r="507">
      <c r="D507" s="282"/>
    </row>
    <row r="508">
      <c r="D508" s="282"/>
    </row>
    <row r="509">
      <c r="D509" s="282"/>
    </row>
    <row r="510">
      <c r="D510" s="282"/>
    </row>
    <row r="511">
      <c r="D511" s="282"/>
    </row>
    <row r="512">
      <c r="D512" s="282"/>
    </row>
    <row r="513">
      <c r="D513" s="282"/>
    </row>
    <row r="514">
      <c r="D514" s="282"/>
    </row>
    <row r="515">
      <c r="D515" s="282"/>
    </row>
    <row r="516">
      <c r="D516" s="282"/>
    </row>
    <row r="517">
      <c r="D517" s="282"/>
    </row>
    <row r="518">
      <c r="D518" s="282"/>
    </row>
    <row r="519">
      <c r="D519" s="282"/>
    </row>
    <row r="520">
      <c r="D520" s="282"/>
    </row>
    <row r="521">
      <c r="D521" s="282"/>
    </row>
    <row r="522">
      <c r="D522" s="282"/>
    </row>
    <row r="523">
      <c r="D523" s="282"/>
    </row>
    <row r="524">
      <c r="D524" s="282"/>
    </row>
    <row r="525">
      <c r="D525" s="282"/>
    </row>
    <row r="526">
      <c r="D526" s="282"/>
    </row>
    <row r="527">
      <c r="D527" s="282"/>
    </row>
    <row r="528">
      <c r="D528" s="282"/>
    </row>
    <row r="529">
      <c r="D529" s="282"/>
    </row>
    <row r="530">
      <c r="D530" s="282"/>
    </row>
    <row r="531">
      <c r="D531" s="282"/>
    </row>
    <row r="532">
      <c r="D532" s="282"/>
    </row>
    <row r="533">
      <c r="D533" s="282"/>
    </row>
    <row r="534">
      <c r="D534" s="282"/>
    </row>
    <row r="535">
      <c r="D535" s="282"/>
    </row>
    <row r="536">
      <c r="D536" s="282"/>
    </row>
    <row r="537">
      <c r="D537" s="282"/>
    </row>
    <row r="538">
      <c r="D538" s="282"/>
    </row>
    <row r="539">
      <c r="D539" s="282"/>
    </row>
    <row r="540">
      <c r="D540" s="282"/>
    </row>
    <row r="541">
      <c r="D541" s="282"/>
    </row>
    <row r="542">
      <c r="D542" s="282"/>
    </row>
    <row r="543">
      <c r="D543" s="282"/>
    </row>
    <row r="544">
      <c r="D544" s="282"/>
    </row>
    <row r="545">
      <c r="D545" s="282"/>
    </row>
    <row r="546">
      <c r="D546" s="282"/>
    </row>
    <row r="547">
      <c r="D547" s="282"/>
    </row>
    <row r="548">
      <c r="D548" s="282"/>
    </row>
    <row r="549">
      <c r="D549" s="282"/>
    </row>
    <row r="550">
      <c r="D550" s="282"/>
    </row>
    <row r="551">
      <c r="D551" s="282"/>
    </row>
    <row r="552">
      <c r="D552" s="282"/>
    </row>
    <row r="553">
      <c r="D553" s="282"/>
    </row>
    <row r="554">
      <c r="D554" s="282"/>
    </row>
    <row r="555">
      <c r="D555" s="282"/>
    </row>
    <row r="556">
      <c r="D556" s="282"/>
    </row>
    <row r="557">
      <c r="D557" s="282"/>
    </row>
    <row r="558">
      <c r="D558" s="282"/>
    </row>
    <row r="559">
      <c r="D559" s="282"/>
    </row>
    <row r="560">
      <c r="D560" s="282"/>
    </row>
    <row r="561">
      <c r="D561" s="282"/>
    </row>
    <row r="562">
      <c r="D562" s="282"/>
    </row>
    <row r="563">
      <c r="D563" s="282"/>
    </row>
    <row r="564">
      <c r="D564" s="282"/>
    </row>
    <row r="565">
      <c r="D565" s="282"/>
    </row>
    <row r="566">
      <c r="D566" s="282"/>
    </row>
    <row r="567">
      <c r="D567" s="282"/>
    </row>
    <row r="568">
      <c r="D568" s="282"/>
    </row>
    <row r="569">
      <c r="D569" s="282"/>
    </row>
    <row r="570">
      <c r="D570" s="282"/>
    </row>
    <row r="571">
      <c r="D571" s="282"/>
    </row>
    <row r="572">
      <c r="D572" s="282"/>
    </row>
    <row r="573">
      <c r="D573" s="282"/>
    </row>
    <row r="574">
      <c r="D574" s="282"/>
    </row>
    <row r="575">
      <c r="D575" s="282"/>
    </row>
    <row r="576">
      <c r="D576" s="282"/>
    </row>
    <row r="577">
      <c r="D577" s="282"/>
    </row>
    <row r="578">
      <c r="D578" s="282"/>
    </row>
    <row r="579">
      <c r="D579" s="282"/>
    </row>
    <row r="580">
      <c r="D580" s="282"/>
    </row>
    <row r="581">
      <c r="D581" s="282"/>
    </row>
    <row r="582">
      <c r="D582" s="282"/>
    </row>
    <row r="583">
      <c r="D583" s="282"/>
    </row>
    <row r="584">
      <c r="D584" s="282"/>
    </row>
    <row r="585">
      <c r="D585" s="282"/>
    </row>
    <row r="586">
      <c r="D586" s="282"/>
    </row>
    <row r="587">
      <c r="D587" s="282"/>
    </row>
    <row r="588">
      <c r="D588" s="282"/>
    </row>
    <row r="589">
      <c r="D589" s="282"/>
    </row>
    <row r="590">
      <c r="D590" s="282"/>
    </row>
    <row r="591">
      <c r="D591" s="282"/>
    </row>
    <row r="592">
      <c r="D592" s="282"/>
    </row>
    <row r="593">
      <c r="D593" s="282"/>
    </row>
    <row r="594">
      <c r="D594" s="282"/>
    </row>
    <row r="595">
      <c r="D595" s="282"/>
    </row>
    <row r="596">
      <c r="D596" s="282"/>
    </row>
    <row r="597">
      <c r="D597" s="282"/>
    </row>
    <row r="598">
      <c r="D598" s="282"/>
    </row>
    <row r="599">
      <c r="D599" s="282"/>
    </row>
    <row r="600">
      <c r="D600" s="282"/>
    </row>
    <row r="601">
      <c r="D601" s="282"/>
    </row>
    <row r="602">
      <c r="D602" s="282"/>
    </row>
    <row r="603">
      <c r="D603" s="282"/>
    </row>
    <row r="604">
      <c r="D604" s="282"/>
    </row>
    <row r="605">
      <c r="D605" s="282"/>
    </row>
    <row r="606">
      <c r="D606" s="282"/>
    </row>
    <row r="607">
      <c r="D607" s="282"/>
    </row>
    <row r="608">
      <c r="D608" s="282"/>
    </row>
    <row r="609">
      <c r="D609" s="282"/>
    </row>
    <row r="610">
      <c r="D610" s="282"/>
    </row>
    <row r="611">
      <c r="D611" s="282"/>
    </row>
    <row r="612">
      <c r="D612" s="282"/>
    </row>
    <row r="613">
      <c r="D613" s="282"/>
    </row>
    <row r="614">
      <c r="D614" s="282"/>
    </row>
    <row r="615">
      <c r="D615" s="282"/>
    </row>
    <row r="616">
      <c r="D616" s="282"/>
    </row>
    <row r="617">
      <c r="D617" s="282"/>
    </row>
    <row r="618">
      <c r="D618" s="282"/>
    </row>
    <row r="619">
      <c r="D619" s="282"/>
    </row>
    <row r="620">
      <c r="D620" s="282"/>
    </row>
    <row r="621">
      <c r="D621" s="282"/>
    </row>
    <row r="622">
      <c r="D622" s="282"/>
    </row>
    <row r="623">
      <c r="D623" s="282"/>
    </row>
    <row r="624">
      <c r="D624" s="282"/>
    </row>
    <row r="625">
      <c r="D625" s="282"/>
    </row>
    <row r="626">
      <c r="D626" s="282"/>
    </row>
    <row r="627">
      <c r="D627" s="282"/>
    </row>
    <row r="628">
      <c r="D628" s="282"/>
    </row>
    <row r="629">
      <c r="D629" s="282"/>
    </row>
    <row r="630">
      <c r="D630" s="282"/>
    </row>
    <row r="631">
      <c r="D631" s="282"/>
    </row>
    <row r="632">
      <c r="D632" s="282"/>
    </row>
    <row r="633">
      <c r="D633" s="282"/>
    </row>
    <row r="634">
      <c r="D634" s="282"/>
    </row>
    <row r="635">
      <c r="D635" s="282"/>
    </row>
    <row r="636">
      <c r="D636" s="282"/>
    </row>
    <row r="637">
      <c r="D637" s="282"/>
    </row>
    <row r="638">
      <c r="D638" s="282"/>
    </row>
    <row r="639">
      <c r="D639" s="282"/>
    </row>
    <row r="640">
      <c r="D640" s="282"/>
    </row>
    <row r="641">
      <c r="D641" s="282"/>
    </row>
    <row r="642">
      <c r="D642" s="282"/>
    </row>
    <row r="643">
      <c r="D643" s="282"/>
    </row>
    <row r="644">
      <c r="D644" s="282"/>
    </row>
    <row r="645">
      <c r="D645" s="282"/>
    </row>
    <row r="646">
      <c r="D646" s="282"/>
    </row>
    <row r="647">
      <c r="D647" s="282"/>
    </row>
    <row r="648">
      <c r="D648" s="282"/>
    </row>
    <row r="649">
      <c r="D649" s="282"/>
    </row>
    <row r="650">
      <c r="D650" s="282"/>
    </row>
    <row r="651">
      <c r="D651" s="282"/>
    </row>
    <row r="652">
      <c r="D652" s="282"/>
    </row>
    <row r="653">
      <c r="D653" s="282"/>
    </row>
    <row r="654">
      <c r="D654" s="282"/>
    </row>
    <row r="655">
      <c r="D655" s="282"/>
    </row>
    <row r="656">
      <c r="D656" s="282"/>
    </row>
    <row r="657">
      <c r="D657" s="282"/>
    </row>
    <row r="658">
      <c r="D658" s="282"/>
    </row>
    <row r="659">
      <c r="D659" s="282"/>
    </row>
    <row r="660">
      <c r="D660" s="282"/>
    </row>
    <row r="661">
      <c r="D661" s="282"/>
    </row>
    <row r="662">
      <c r="D662" s="282"/>
    </row>
    <row r="663">
      <c r="D663" s="282"/>
    </row>
    <row r="664">
      <c r="D664" s="282"/>
    </row>
    <row r="665">
      <c r="D665" s="282"/>
    </row>
    <row r="666">
      <c r="D666" s="282"/>
    </row>
    <row r="667">
      <c r="D667" s="282"/>
    </row>
    <row r="668">
      <c r="D668" s="282"/>
    </row>
    <row r="669">
      <c r="D669" s="282"/>
    </row>
    <row r="670">
      <c r="D670" s="282"/>
    </row>
    <row r="671">
      <c r="D671" s="282"/>
    </row>
    <row r="672">
      <c r="D672" s="282"/>
    </row>
    <row r="673">
      <c r="D673" s="282"/>
    </row>
    <row r="674">
      <c r="D674" s="282"/>
    </row>
    <row r="675">
      <c r="D675" s="282"/>
    </row>
    <row r="676">
      <c r="D676" s="282"/>
    </row>
    <row r="677">
      <c r="D677" s="282"/>
    </row>
    <row r="678">
      <c r="D678" s="282"/>
    </row>
    <row r="679">
      <c r="D679" s="282"/>
    </row>
    <row r="680">
      <c r="D680" s="282"/>
    </row>
    <row r="681">
      <c r="D681" s="282"/>
    </row>
    <row r="682">
      <c r="D682" s="282"/>
    </row>
    <row r="683">
      <c r="D683" s="282"/>
    </row>
    <row r="684">
      <c r="D684" s="282"/>
    </row>
    <row r="685">
      <c r="D685" s="282"/>
    </row>
    <row r="686">
      <c r="D686" s="282"/>
    </row>
    <row r="687">
      <c r="D687" s="282"/>
    </row>
    <row r="688">
      <c r="D688" s="282"/>
    </row>
    <row r="689">
      <c r="D689" s="282"/>
    </row>
    <row r="690">
      <c r="D690" s="282"/>
    </row>
    <row r="691">
      <c r="D691" s="282"/>
    </row>
    <row r="692">
      <c r="D692" s="282"/>
    </row>
    <row r="693">
      <c r="D693" s="282"/>
    </row>
    <row r="694">
      <c r="D694" s="282"/>
    </row>
    <row r="695">
      <c r="D695" s="282"/>
    </row>
    <row r="696">
      <c r="D696" s="282"/>
    </row>
    <row r="697">
      <c r="D697" s="282"/>
    </row>
    <row r="698">
      <c r="D698" s="282"/>
    </row>
    <row r="699">
      <c r="D699" s="282"/>
    </row>
    <row r="700">
      <c r="D700" s="282"/>
    </row>
    <row r="701">
      <c r="D701" s="282"/>
    </row>
    <row r="702">
      <c r="D702" s="282"/>
    </row>
    <row r="703">
      <c r="D703" s="282"/>
    </row>
    <row r="704">
      <c r="D704" s="282"/>
    </row>
    <row r="705">
      <c r="D705" s="282"/>
    </row>
    <row r="706">
      <c r="D706" s="282"/>
    </row>
    <row r="707">
      <c r="D707" s="282"/>
    </row>
    <row r="708">
      <c r="D708" s="282"/>
    </row>
    <row r="709">
      <c r="D709" s="282"/>
    </row>
    <row r="710">
      <c r="D710" s="282"/>
    </row>
    <row r="711">
      <c r="D711" s="282"/>
    </row>
    <row r="712">
      <c r="D712" s="282"/>
    </row>
    <row r="713">
      <c r="D713" s="282"/>
    </row>
    <row r="714">
      <c r="D714" s="282"/>
    </row>
    <row r="715">
      <c r="D715" s="282"/>
    </row>
    <row r="716">
      <c r="D716" s="282"/>
    </row>
    <row r="717">
      <c r="D717" s="282"/>
    </row>
    <row r="718">
      <c r="D718" s="282"/>
    </row>
    <row r="719">
      <c r="D719" s="282"/>
    </row>
    <row r="720">
      <c r="D720" s="282"/>
    </row>
    <row r="721">
      <c r="D721" s="282"/>
    </row>
    <row r="722">
      <c r="D722" s="282"/>
    </row>
    <row r="723">
      <c r="D723" s="282"/>
    </row>
    <row r="724">
      <c r="D724" s="282"/>
    </row>
    <row r="725">
      <c r="D725" s="282"/>
    </row>
    <row r="726">
      <c r="D726" s="282"/>
    </row>
    <row r="727">
      <c r="D727" s="282"/>
    </row>
    <row r="728">
      <c r="D728" s="282"/>
    </row>
    <row r="729">
      <c r="D729" s="282"/>
    </row>
    <row r="730">
      <c r="D730" s="282"/>
    </row>
    <row r="731">
      <c r="D731" s="282"/>
    </row>
    <row r="732">
      <c r="D732" s="282"/>
    </row>
    <row r="733">
      <c r="D733" s="282"/>
    </row>
    <row r="734">
      <c r="D734" s="282"/>
    </row>
    <row r="735">
      <c r="D735" s="282"/>
    </row>
    <row r="736">
      <c r="D736" s="282"/>
    </row>
    <row r="737">
      <c r="D737" s="282"/>
    </row>
    <row r="738">
      <c r="D738" s="282"/>
    </row>
    <row r="739">
      <c r="D739" s="282"/>
    </row>
    <row r="740">
      <c r="D740" s="282"/>
    </row>
    <row r="741">
      <c r="D741" s="282"/>
    </row>
    <row r="742">
      <c r="D742" s="282"/>
    </row>
    <row r="743">
      <c r="D743" s="282"/>
    </row>
    <row r="744">
      <c r="D744" s="282"/>
    </row>
    <row r="745">
      <c r="D745" s="282"/>
    </row>
    <row r="746">
      <c r="D746" s="282"/>
    </row>
    <row r="747">
      <c r="D747" s="282"/>
    </row>
    <row r="748">
      <c r="D748" s="282"/>
    </row>
    <row r="749">
      <c r="D749" s="282"/>
    </row>
    <row r="750">
      <c r="D750" s="282"/>
    </row>
    <row r="751">
      <c r="D751" s="282"/>
    </row>
    <row r="752">
      <c r="D752" s="282"/>
    </row>
    <row r="753">
      <c r="D753" s="282"/>
    </row>
    <row r="754">
      <c r="D754" s="282"/>
    </row>
    <row r="755">
      <c r="D755" s="282"/>
    </row>
    <row r="756">
      <c r="D756" s="282"/>
    </row>
    <row r="757">
      <c r="D757" s="282"/>
    </row>
    <row r="758">
      <c r="D758" s="282"/>
    </row>
    <row r="759">
      <c r="D759" s="282"/>
    </row>
    <row r="760">
      <c r="D760" s="282"/>
    </row>
    <row r="761">
      <c r="D761" s="282"/>
    </row>
    <row r="762">
      <c r="D762" s="282"/>
    </row>
    <row r="763">
      <c r="D763" s="282"/>
    </row>
    <row r="764">
      <c r="D764" s="282"/>
    </row>
    <row r="765">
      <c r="D765" s="282"/>
    </row>
    <row r="766">
      <c r="D766" s="282"/>
    </row>
    <row r="767">
      <c r="D767" s="282"/>
    </row>
    <row r="768">
      <c r="D768" s="282"/>
    </row>
    <row r="769">
      <c r="D769" s="282"/>
    </row>
    <row r="770">
      <c r="D770" s="282"/>
    </row>
    <row r="771">
      <c r="D771" s="282"/>
    </row>
    <row r="772">
      <c r="D772" s="282"/>
    </row>
    <row r="773">
      <c r="D773" s="282"/>
    </row>
    <row r="774">
      <c r="D774" s="282"/>
    </row>
    <row r="775">
      <c r="D775" s="282"/>
    </row>
    <row r="776">
      <c r="D776" s="282"/>
    </row>
    <row r="777">
      <c r="D777" s="282"/>
    </row>
    <row r="778">
      <c r="D778" s="282"/>
    </row>
    <row r="779">
      <c r="D779" s="282"/>
    </row>
    <row r="780">
      <c r="D780" s="282"/>
    </row>
    <row r="781">
      <c r="D781" s="282"/>
    </row>
    <row r="782">
      <c r="D782" s="282"/>
    </row>
    <row r="783">
      <c r="D783" s="282"/>
    </row>
    <row r="784">
      <c r="D784" s="282"/>
    </row>
    <row r="785">
      <c r="D785" s="282"/>
    </row>
    <row r="786">
      <c r="D786" s="282"/>
    </row>
    <row r="787">
      <c r="D787" s="282"/>
    </row>
    <row r="788">
      <c r="D788" s="282"/>
    </row>
    <row r="789">
      <c r="D789" s="282"/>
    </row>
    <row r="790">
      <c r="D790" s="282"/>
    </row>
    <row r="791">
      <c r="D791" s="282"/>
    </row>
    <row r="792">
      <c r="D792" s="282"/>
    </row>
    <row r="793">
      <c r="D793" s="282"/>
    </row>
    <row r="794">
      <c r="D794" s="282"/>
    </row>
    <row r="795">
      <c r="D795" s="282"/>
    </row>
    <row r="796">
      <c r="D796" s="282"/>
    </row>
    <row r="797">
      <c r="D797" s="282"/>
    </row>
    <row r="798">
      <c r="D798" s="282"/>
    </row>
    <row r="799">
      <c r="D799" s="282"/>
    </row>
    <row r="800">
      <c r="D800" s="282"/>
    </row>
    <row r="801">
      <c r="D801" s="282"/>
    </row>
    <row r="802">
      <c r="D802" s="282"/>
    </row>
    <row r="803">
      <c r="D803" s="282"/>
    </row>
    <row r="804">
      <c r="D804" s="282"/>
    </row>
    <row r="805">
      <c r="D805" s="282"/>
    </row>
    <row r="806">
      <c r="D806" s="282"/>
    </row>
    <row r="807">
      <c r="D807" s="282"/>
    </row>
    <row r="808">
      <c r="D808" s="282"/>
    </row>
    <row r="809">
      <c r="D809" s="282"/>
    </row>
    <row r="810">
      <c r="D810" s="282"/>
    </row>
    <row r="811">
      <c r="D811" s="282"/>
    </row>
    <row r="812">
      <c r="D812" s="282"/>
    </row>
    <row r="813">
      <c r="D813" s="282"/>
    </row>
    <row r="814">
      <c r="D814" s="282"/>
    </row>
    <row r="815">
      <c r="D815" s="282"/>
    </row>
    <row r="816">
      <c r="D816" s="282"/>
    </row>
    <row r="817">
      <c r="D817" s="282"/>
    </row>
    <row r="818">
      <c r="D818" s="282"/>
    </row>
    <row r="819">
      <c r="D819" s="282"/>
    </row>
    <row r="820">
      <c r="D820" s="282"/>
    </row>
    <row r="821">
      <c r="D821" s="282"/>
    </row>
    <row r="822">
      <c r="D822" s="282"/>
    </row>
    <row r="823">
      <c r="D823" s="282"/>
    </row>
    <row r="824">
      <c r="D824" s="282"/>
    </row>
    <row r="825">
      <c r="D825" s="282"/>
    </row>
    <row r="826">
      <c r="D826" s="282"/>
    </row>
    <row r="827">
      <c r="D827" s="282"/>
    </row>
    <row r="828">
      <c r="D828" s="282"/>
    </row>
    <row r="829">
      <c r="D829" s="282"/>
    </row>
    <row r="830">
      <c r="D830" s="282"/>
    </row>
    <row r="831">
      <c r="D831" s="282"/>
    </row>
    <row r="832">
      <c r="D832" s="282"/>
    </row>
    <row r="833">
      <c r="D833" s="282"/>
    </row>
    <row r="834">
      <c r="D834" s="282"/>
    </row>
    <row r="835">
      <c r="D835" s="282"/>
    </row>
    <row r="836">
      <c r="D836" s="282"/>
    </row>
    <row r="837">
      <c r="D837" s="282"/>
    </row>
    <row r="838">
      <c r="D838" s="282"/>
    </row>
    <row r="839">
      <c r="D839" s="282"/>
    </row>
    <row r="840">
      <c r="D840" s="282"/>
    </row>
    <row r="841">
      <c r="D841" s="282"/>
    </row>
    <row r="842">
      <c r="D842" s="282"/>
    </row>
    <row r="843">
      <c r="D843" s="282"/>
    </row>
    <row r="844">
      <c r="D844" s="282"/>
    </row>
    <row r="845">
      <c r="D845" s="282"/>
    </row>
    <row r="846">
      <c r="D846" s="282"/>
    </row>
    <row r="847">
      <c r="D847" s="282"/>
    </row>
    <row r="848">
      <c r="D848" s="282"/>
    </row>
    <row r="849">
      <c r="D849" s="282"/>
    </row>
    <row r="850">
      <c r="D850" s="282"/>
    </row>
    <row r="851">
      <c r="D851" s="282"/>
    </row>
    <row r="852">
      <c r="D852" s="282"/>
    </row>
    <row r="853">
      <c r="D853" s="282"/>
    </row>
    <row r="854">
      <c r="D854" s="282"/>
    </row>
    <row r="855">
      <c r="D855" s="282"/>
    </row>
    <row r="856">
      <c r="D856" s="282"/>
    </row>
    <row r="857">
      <c r="D857" s="282"/>
    </row>
    <row r="858">
      <c r="D858" s="282"/>
    </row>
    <row r="859">
      <c r="D859" s="282"/>
    </row>
    <row r="860">
      <c r="D860" s="282"/>
    </row>
    <row r="861">
      <c r="D861" s="282"/>
    </row>
    <row r="862">
      <c r="D862" s="282"/>
    </row>
    <row r="863">
      <c r="D863" s="282"/>
    </row>
    <row r="864">
      <c r="D864" s="282"/>
    </row>
    <row r="865">
      <c r="D865" s="282"/>
    </row>
    <row r="866">
      <c r="D866" s="282"/>
    </row>
    <row r="867">
      <c r="D867" s="282"/>
    </row>
    <row r="868">
      <c r="D868" s="282"/>
    </row>
    <row r="869">
      <c r="D869" s="282"/>
    </row>
    <row r="870">
      <c r="D870" s="282"/>
    </row>
    <row r="871">
      <c r="D871" s="282"/>
    </row>
    <row r="872">
      <c r="D872" s="282"/>
    </row>
    <row r="873">
      <c r="D873" s="282"/>
    </row>
    <row r="874">
      <c r="D874" s="282"/>
    </row>
    <row r="875">
      <c r="D875" s="282"/>
    </row>
    <row r="876">
      <c r="D876" s="282"/>
    </row>
    <row r="877">
      <c r="D877" s="282"/>
    </row>
    <row r="878">
      <c r="D878" s="282"/>
    </row>
    <row r="879">
      <c r="D879" s="282"/>
    </row>
    <row r="880">
      <c r="D880" s="282"/>
    </row>
    <row r="881">
      <c r="D881" s="282"/>
    </row>
    <row r="882">
      <c r="D882" s="282"/>
    </row>
    <row r="883">
      <c r="D883" s="282"/>
    </row>
    <row r="884">
      <c r="D884" s="282"/>
    </row>
    <row r="885">
      <c r="D885" s="282"/>
    </row>
    <row r="886">
      <c r="D886" s="282"/>
    </row>
    <row r="887">
      <c r="D887" s="282"/>
    </row>
    <row r="888">
      <c r="D888" s="282"/>
    </row>
    <row r="889">
      <c r="D889" s="282"/>
    </row>
    <row r="890">
      <c r="D890" s="282"/>
    </row>
    <row r="891">
      <c r="D891" s="282"/>
    </row>
    <row r="892">
      <c r="D892" s="282"/>
    </row>
    <row r="893">
      <c r="D893" s="282"/>
    </row>
    <row r="894">
      <c r="D894" s="282"/>
    </row>
    <row r="895">
      <c r="D895" s="282"/>
    </row>
    <row r="896">
      <c r="D896" s="282"/>
    </row>
    <row r="897">
      <c r="D897" s="282"/>
    </row>
    <row r="898">
      <c r="D898" s="282"/>
    </row>
    <row r="899">
      <c r="D899" s="282"/>
    </row>
    <row r="900">
      <c r="D900" s="282"/>
    </row>
    <row r="901">
      <c r="D901" s="282"/>
    </row>
    <row r="902">
      <c r="D902" s="282"/>
    </row>
    <row r="903">
      <c r="D903" s="282"/>
    </row>
    <row r="904">
      <c r="D904" s="282"/>
    </row>
    <row r="905">
      <c r="D905" s="282"/>
    </row>
    <row r="906">
      <c r="D906" s="282"/>
    </row>
    <row r="907">
      <c r="D907" s="282"/>
    </row>
    <row r="908">
      <c r="D908" s="282"/>
    </row>
    <row r="909">
      <c r="D909" s="282"/>
    </row>
    <row r="910">
      <c r="D910" s="282"/>
    </row>
    <row r="911">
      <c r="D911" s="282"/>
    </row>
    <row r="912">
      <c r="D912" s="282"/>
    </row>
    <row r="913">
      <c r="D913" s="282"/>
    </row>
    <row r="914">
      <c r="D914" s="282"/>
    </row>
    <row r="915">
      <c r="D915" s="282"/>
    </row>
    <row r="916">
      <c r="D916" s="282"/>
    </row>
    <row r="917">
      <c r="D917" s="282"/>
    </row>
    <row r="918">
      <c r="D918" s="282"/>
    </row>
    <row r="919">
      <c r="D919" s="282"/>
    </row>
    <row r="920">
      <c r="D920" s="282"/>
    </row>
    <row r="921">
      <c r="D921" s="282"/>
    </row>
    <row r="922">
      <c r="D922" s="282"/>
    </row>
    <row r="923">
      <c r="D923" s="282"/>
    </row>
    <row r="924">
      <c r="D924" s="282"/>
    </row>
    <row r="925">
      <c r="D925" s="282"/>
    </row>
    <row r="926">
      <c r="D926" s="282"/>
    </row>
    <row r="927">
      <c r="D927" s="282"/>
    </row>
    <row r="928">
      <c r="D928" s="282"/>
    </row>
    <row r="929">
      <c r="D929" s="282"/>
    </row>
    <row r="930">
      <c r="D930" s="282"/>
    </row>
    <row r="931">
      <c r="D931" s="282"/>
    </row>
    <row r="932">
      <c r="D932" s="282"/>
    </row>
    <row r="933">
      <c r="D933" s="282"/>
    </row>
    <row r="934">
      <c r="D934" s="282"/>
    </row>
    <row r="935">
      <c r="D935" s="282"/>
    </row>
    <row r="936">
      <c r="D936" s="282"/>
    </row>
    <row r="937">
      <c r="D937" s="282"/>
    </row>
    <row r="938">
      <c r="D938" s="282"/>
    </row>
    <row r="939">
      <c r="D939" s="282"/>
    </row>
    <row r="940">
      <c r="D940" s="282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5" t="s">
        <v>213</v>
      </c>
      <c r="H1" s="44" t="s">
        <v>171</v>
      </c>
    </row>
    <row r="2" ht="48.75" customHeight="1">
      <c r="A2" s="316" t="s">
        <v>214</v>
      </c>
      <c r="B2" s="56"/>
      <c r="C2" s="57"/>
      <c r="D2" s="317" t="str">
        <f>'Пр.взв'!C2</f>
        <v>Первенство России среди юношей и девушек 16-18 лет (отбор на первенство мира и Европы)</v>
      </c>
      <c r="E2" s="56"/>
      <c r="F2" s="56"/>
      <c r="G2" s="56"/>
      <c r="H2" s="59"/>
    </row>
    <row r="3">
      <c r="A3" s="318" t="str">
        <f>'Пр.взв'!C3</f>
        <v>30.01 - 04.02.2022 г.                                                                                        г.Кстово</v>
      </c>
      <c r="B3" s="174"/>
      <c r="C3" s="174"/>
      <c r="D3" s="174"/>
      <c r="E3" s="174"/>
      <c r="F3" s="174"/>
      <c r="G3" s="171"/>
      <c r="H3" s="319" t="str">
        <f>'Пр.взв'!G4</f>
        <v>В.к.  44  кг</v>
      </c>
    </row>
    <row r="4" ht="12.0" customHeight="1">
      <c r="A4" s="320" t="s">
        <v>176</v>
      </c>
      <c r="B4" s="321" t="s">
        <v>9</v>
      </c>
      <c r="C4" s="322" t="s">
        <v>10</v>
      </c>
      <c r="D4" s="323" t="s">
        <v>11</v>
      </c>
      <c r="E4" s="324" t="s">
        <v>13</v>
      </c>
      <c r="F4" s="325"/>
      <c r="G4" s="326" t="s">
        <v>15</v>
      </c>
      <c r="H4" s="322" t="s">
        <v>16</v>
      </c>
    </row>
    <row r="5" ht="11.25" customHeight="1">
      <c r="A5" s="113"/>
      <c r="B5" s="113"/>
      <c r="C5" s="113"/>
      <c r="D5" s="113"/>
      <c r="E5" s="183"/>
      <c r="F5" s="171"/>
      <c r="G5" s="113"/>
      <c r="H5" s="113"/>
    </row>
    <row r="6">
      <c r="A6" s="327">
        <v>1.0</v>
      </c>
      <c r="B6" s="328" t="str">
        <f t="array" ref="B6">INDEX('Пр.хода'!$B$6:'Пр.хода'!$B$148,MATCH("1",'Пр.хода'!$AE$6:'Пр.хода'!$AE$148,0),MATCH("№ п/ж",'Пр.хода'!$B$4:'Пр.хода'!$D$4,0))</f>
        <v>#N/A</v>
      </c>
      <c r="C6" s="329" t="str">
        <f>VLOOKUP($B6,'Пр.взв'!$D$6:$J$76,3,0)</f>
        <v>#N/A</v>
      </c>
      <c r="D6" s="330" t="str">
        <f>VLOOKUP($B6,'Пр.взв'!$D$6:$J$76,4,0)</f>
        <v>#N/A</v>
      </c>
      <c r="E6" s="330" t="str">
        <f>VLOOKUP($B6,'Пр.взв'!$D$6:$J$76,6,0)</f>
        <v>#N/A</v>
      </c>
      <c r="F6" s="331" t="str">
        <f>VLOOKUP($B6,'Пр.взв'!$D$6:$J$76,7,0)</f>
        <v>#N/A</v>
      </c>
      <c r="G6" s="331" t="str">
        <f>VLOOKUP($B6,'Пр.взв'!$D$6:$M$76,8,0)</f>
        <v>#N/A</v>
      </c>
      <c r="H6" s="331" t="str">
        <f>VLOOKUP($B6,'Пр.взв'!$D$6:$M$76,10,0)</f>
        <v>#N/A</v>
      </c>
    </row>
    <row r="7">
      <c r="A7" s="327">
        <v>2.0</v>
      </c>
      <c r="B7" s="328" t="str">
        <f t="array" ref="B7">INDEX('Пр.хода'!$B$6:'Пр.хода'!$B$148,MATCH("2",'Пр.хода'!$AE$6:'Пр.хода'!$AE$148,0),MATCH("№ п/ж",'Пр.хода'!$B$4:'Пр.хода'!$D$4,0))</f>
        <v>#N/A</v>
      </c>
      <c r="C7" s="329" t="str">
        <f>VLOOKUP($B7,'Пр.взв'!$D$6:$J$76,3,0)</f>
        <v>#N/A</v>
      </c>
      <c r="D7" s="330" t="str">
        <f>VLOOKUP($B7,'Пр.взв'!$D$6:$J$76,4,0)</f>
        <v>#N/A</v>
      </c>
      <c r="E7" s="330" t="str">
        <f>VLOOKUP($B7,'Пр.взв'!$D$6:$J$76,6,0)</f>
        <v>#N/A</v>
      </c>
      <c r="F7" s="331" t="str">
        <f>VLOOKUP($B7,'Пр.взв'!$D$6:$J$76,7,0)</f>
        <v>#N/A</v>
      </c>
      <c r="G7" s="331" t="str">
        <f>VLOOKUP($B7,'Пр.взв'!$D$6:$M$76,8,0)</f>
        <v>#N/A</v>
      </c>
      <c r="H7" s="332" t="str">
        <f>VLOOKUP($B7,'Пр.взв'!$D$6:$M$76,10,0)</f>
        <v>#N/A</v>
      </c>
    </row>
    <row r="8">
      <c r="A8" s="327">
        <v>3.0</v>
      </c>
      <c r="B8" s="328" t="str">
        <f t="array" ref="B8">INDEX('Пр.хода'!$B$6:'Пр.хода'!$B$148,MATCH("3",'Пр.хода'!$AE$6:'Пр.хода'!$AE$148,0),MATCH("№ п/ж",'Пр.хода'!$B$4:'Пр.хода'!$D$4,0))</f>
        <v>#N/A</v>
      </c>
      <c r="C8" s="329" t="str">
        <f>VLOOKUP($B8,'Пр.взв'!$D$6:$J$76,3,0)</f>
        <v>#N/A</v>
      </c>
      <c r="D8" s="330" t="str">
        <f>VLOOKUP($B8,'Пр.взв'!$D$6:$J$76,4,0)</f>
        <v>#N/A</v>
      </c>
      <c r="E8" s="330" t="str">
        <f>VLOOKUP($B8,'Пр.взв'!$D$6:$J$76,6,0)</f>
        <v>#N/A</v>
      </c>
      <c r="F8" s="331" t="str">
        <f>VLOOKUP($B8,'Пр.взв'!$D$6:$J$76,7,0)</f>
        <v>#N/A</v>
      </c>
      <c r="G8" s="333" t="str">
        <f>VLOOKUP($B8,'Пр.взв'!$D$6:$M$76,8,0)</f>
        <v>#N/A</v>
      </c>
      <c r="H8" s="334" t="str">
        <f>VLOOKUP($B8,'Пр.взв'!$D$6:$M$76,10,0)</f>
        <v>#N/A</v>
      </c>
    </row>
    <row r="9">
      <c r="A9" s="327">
        <v>3.0</v>
      </c>
      <c r="B9" s="328" t="str">
        <f t="array" ref="B9">INDEX('Пр.хода'!$B$6:'Пр.хода'!$B$148,MATCH("4",'Пр.хода'!$AE$6:'Пр.хода'!$AE$148,0),MATCH("№ п/ж",'Пр.хода'!$B$4:'Пр.хода'!$D$4,0))</f>
        <v>#N/A</v>
      </c>
      <c r="C9" s="329" t="str">
        <f>VLOOKUP($B9,'Пр.взв'!$D$6:$J$76,3,0)</f>
        <v>#N/A</v>
      </c>
      <c r="D9" s="330" t="str">
        <f>VLOOKUP($B9,'Пр.взв'!$D$6:$J$76,4,0)</f>
        <v>#N/A</v>
      </c>
      <c r="E9" s="330" t="str">
        <f>VLOOKUP($B9,'Пр.взв'!$D$6:$J$76,6,0)</f>
        <v>#N/A</v>
      </c>
      <c r="F9" s="331" t="str">
        <f>VLOOKUP($B9,'Пр.взв'!$D$6:$J$76,7,0)</f>
        <v>#N/A</v>
      </c>
      <c r="G9" s="331" t="str">
        <f>VLOOKUP($B9,'Пр.взв'!$D$6:$M$76,8,0)</f>
        <v>#N/A</v>
      </c>
      <c r="H9" s="331" t="str">
        <f>VLOOKUP($B9,'Пр.взв'!$D$6:$M$76,10,0)</f>
        <v>#N/A</v>
      </c>
    </row>
    <row r="10">
      <c r="A10" s="335">
        <v>5.0</v>
      </c>
      <c r="B10" s="328" t="str">
        <f t="array" ref="B10">INDEX('Пр.хода'!$B$6:'Пр.хода'!$B$148,MATCH("5",'Пр.хода'!$AE$6:'Пр.хода'!$AE$148,0),MATCH("№ п/ж",'Пр.хода'!$B$4:'Пр.хода'!$D$4,0))</f>
        <v>#N/A</v>
      </c>
      <c r="C10" s="329" t="str">
        <f>VLOOKUP($B10,'Пр.взв'!$D$6:$J$76,3,0)</f>
        <v>#N/A</v>
      </c>
      <c r="D10" s="330" t="str">
        <f>VLOOKUP($B10,'Пр.взв'!$D$6:$J$76,4,0)</f>
        <v>#N/A</v>
      </c>
      <c r="E10" s="330" t="str">
        <f>VLOOKUP($B10,'Пр.взв'!$D$6:$J$76,6,0)</f>
        <v>#N/A</v>
      </c>
      <c r="F10" s="331" t="str">
        <f>VLOOKUP($B10,'Пр.взв'!$D$6:$J$76,7,0)</f>
        <v>#N/A</v>
      </c>
      <c r="G10" s="331" t="str">
        <f>VLOOKUP($B10,'Пр.взв'!$D$6:$M$76,8,0)</f>
        <v>#N/A</v>
      </c>
      <c r="H10" s="331" t="str">
        <f>VLOOKUP($B10,'Пр.взв'!$D$6:$M$76,10,0)</f>
        <v>#N/A</v>
      </c>
    </row>
    <row r="11">
      <c r="A11" s="335">
        <v>6.0</v>
      </c>
      <c r="B11" s="328" t="str">
        <f t="array" ref="B11">INDEX('Пр.хода'!$B$6:'Пр.хода'!$B$148,MATCH("6",'Пр.хода'!$AE$6:'Пр.хода'!$AE$148,0),MATCH("№ п/ж",'Пр.хода'!$B$4:'Пр.хода'!$D$4,0))</f>
        <v>#N/A</v>
      </c>
      <c r="C11" s="329" t="str">
        <f>VLOOKUP($B11,'Пр.взв'!$D$6:$J$76,3,0)</f>
        <v>#N/A</v>
      </c>
      <c r="D11" s="330" t="str">
        <f>VLOOKUP($B11,'Пр.взв'!$D$6:$J$76,4,0)</f>
        <v>#N/A</v>
      </c>
      <c r="E11" s="330" t="str">
        <f>VLOOKUP($B11,'Пр.взв'!$D$6:$J$76,6,0)</f>
        <v>#N/A</v>
      </c>
      <c r="F11" s="331" t="str">
        <f>VLOOKUP($B11,'Пр.взв'!$D$6:$J$76,7,0)</f>
        <v>#N/A</v>
      </c>
      <c r="G11" s="331" t="str">
        <f>VLOOKUP($B11,'Пр.взв'!$D$6:$M$76,8,0)</f>
        <v>#N/A</v>
      </c>
      <c r="H11" s="331" t="str">
        <f>VLOOKUP($B11,'Пр.взв'!$D$6:$M$76,10,0)</f>
        <v>#N/A</v>
      </c>
    </row>
    <row r="12">
      <c r="A12" s="335">
        <v>7.0</v>
      </c>
      <c r="B12" s="328" t="str">
        <f t="array" ref="B12">INDEX('Пр.хода'!$B$6:'Пр.хода'!$B$148,MATCH("7",'Пр.хода'!$AE$6:'Пр.хода'!$AE$148,0),MATCH("№ п/ж",'Пр.хода'!$B$4:'Пр.хода'!$D$4,0))</f>
        <v>#N/A</v>
      </c>
      <c r="C12" s="329" t="str">
        <f>VLOOKUP($B12,'Пр.взв'!$D$6:$J$76,3,0)</f>
        <v>#N/A</v>
      </c>
      <c r="D12" s="330" t="str">
        <f>VLOOKUP($B12,'Пр.взв'!$D$6:$J$76,4,0)</f>
        <v>#N/A</v>
      </c>
      <c r="E12" s="330" t="str">
        <f>VLOOKUP($B12,'Пр.взв'!$D$6:$J$76,6,0)</f>
        <v>#N/A</v>
      </c>
      <c r="F12" s="331" t="str">
        <f>VLOOKUP($B12,'Пр.взв'!$D$6:$J$76,7,0)</f>
        <v>#N/A</v>
      </c>
      <c r="G12" s="331" t="str">
        <f>VLOOKUP($B12,'Пр.взв'!$D$6:$M$76,8,0)</f>
        <v>#N/A</v>
      </c>
      <c r="H12" s="331" t="str">
        <f>VLOOKUP($B12,'Пр.взв'!$D$6:$M$76,10,0)</f>
        <v>#N/A</v>
      </c>
    </row>
    <row r="13">
      <c r="A13" s="335">
        <v>8.0</v>
      </c>
      <c r="B13" s="328" t="str">
        <f t="array" ref="B13">INDEX('Пр.хода'!$B$6:'Пр.хода'!$B$148,MATCH("8",'Пр.хода'!$AE$6:'Пр.хода'!$AE$148,0),MATCH("№ п/ж",'Пр.хода'!$B$4:'Пр.хода'!$D$4,0))</f>
        <v>#N/A</v>
      </c>
      <c r="C13" s="329" t="str">
        <f>VLOOKUP($B13,'Пр.взв'!$D$6:$J$76,3,0)</f>
        <v>#N/A</v>
      </c>
      <c r="D13" s="330" t="str">
        <f>VLOOKUP($B13,'Пр.взв'!$D$6:$J$76,4,0)</f>
        <v>#N/A</v>
      </c>
      <c r="E13" s="330" t="str">
        <f>VLOOKUP($B13,'Пр.взв'!$D$6:$J$76,6,0)</f>
        <v>#N/A</v>
      </c>
      <c r="F13" s="331" t="str">
        <f>VLOOKUP($B13,'Пр.взв'!$D$6:$J$76,7,0)</f>
        <v>#N/A</v>
      </c>
      <c r="G13" s="331" t="str">
        <f>VLOOKUP($B13,'Пр.взв'!$D$6:$M$76,8,0)</f>
        <v>#N/A</v>
      </c>
      <c r="H13" s="331" t="str">
        <f>VLOOKUP($B13,'Пр.взв'!$D$6:$M$76,10,0)</f>
        <v>#N/A</v>
      </c>
    </row>
    <row r="14">
      <c r="A14" s="335">
        <v>9.0</v>
      </c>
      <c r="B14" s="328" t="str">
        <f t="array" ref="B14">INDEX('Пр.хода'!$B$6:'Пр.хода'!$B$148,MATCH("9",'Пр.хода'!$AE$6:'Пр.хода'!$AE$148,0),MATCH("№ п/ж",'Пр.хода'!$B$4:'Пр.хода'!$D$4,0))</f>
        <v>#N/A</v>
      </c>
      <c r="C14" s="329" t="str">
        <f>VLOOKUP($B14,'Пр.взв'!$D$6:$J$76,3,0)</f>
        <v>#N/A</v>
      </c>
      <c r="D14" s="330" t="str">
        <f>VLOOKUP($B14,'Пр.взв'!$D$6:$J$76,4,0)</f>
        <v>#N/A</v>
      </c>
      <c r="E14" s="330" t="str">
        <f>VLOOKUP($B14,'Пр.взв'!$D$6:$J$76,6,0)</f>
        <v>#N/A</v>
      </c>
      <c r="F14" s="331" t="str">
        <f>VLOOKUP($B14,'Пр.взв'!$D$6:$J$76,7,0)</f>
        <v>#N/A</v>
      </c>
      <c r="G14" s="331" t="str">
        <f>VLOOKUP($B14,'Пр.взв'!$D$6:$M$76,8,0)</f>
        <v>#N/A</v>
      </c>
      <c r="H14" s="331" t="str">
        <f>VLOOKUP($B14,'Пр.взв'!$D$6:$M$76,10,0)</f>
        <v>#N/A</v>
      </c>
    </row>
    <row r="15">
      <c r="A15" s="335">
        <v>10.0</v>
      </c>
      <c r="B15" s="328" t="str">
        <f t="array" ref="B15">INDEX('Пр.хода'!$B$6:'Пр.хода'!$B$148,MATCH("10",'Пр.хода'!$AE$6:'Пр.хода'!$AE$148,0),MATCH("№ п/ж",'Пр.хода'!$B$4:'Пр.хода'!$D$4,0))</f>
        <v>#N/A</v>
      </c>
      <c r="C15" s="329" t="str">
        <f>VLOOKUP($B15,'Пр.взв'!$D$6:$J$76,3,0)</f>
        <v>#N/A</v>
      </c>
      <c r="D15" s="330" t="str">
        <f>VLOOKUP($B15,'Пр.взв'!$D$6:$J$76,4,0)</f>
        <v>#N/A</v>
      </c>
      <c r="E15" s="330" t="str">
        <f>VLOOKUP($B15,'Пр.взв'!$D$6:$J$76,6,0)</f>
        <v>#N/A</v>
      </c>
      <c r="F15" s="331" t="str">
        <f>VLOOKUP($B15,'Пр.взв'!$D$6:$J$76,7,0)</f>
        <v>#N/A</v>
      </c>
      <c r="G15" s="331" t="str">
        <f>VLOOKUP($B15,'Пр.взв'!$D$6:$M$76,8,0)</f>
        <v>#N/A</v>
      </c>
      <c r="H15" s="331" t="str">
        <f>VLOOKUP($B15,'Пр.взв'!$D$6:$M$76,10,0)</f>
        <v>#N/A</v>
      </c>
    </row>
    <row r="16">
      <c r="A16" s="335">
        <v>11.0</v>
      </c>
      <c r="B16" s="328" t="str">
        <f t="array" ref="B16">INDEX('Пр.хода'!$B$6:'Пр.хода'!$B$148,MATCH("11",'Пр.хода'!$AE$6:'Пр.хода'!$AE$148,0),MATCH("№ п/ж",'Пр.хода'!$B$4:'Пр.хода'!$D$4,0))</f>
        <v>#N/A</v>
      </c>
      <c r="C16" s="329" t="str">
        <f>VLOOKUP($B16,'Пр.взв'!$D$6:$J$76,3,0)</f>
        <v>#N/A</v>
      </c>
      <c r="D16" s="330" t="str">
        <f>VLOOKUP($B16,'Пр.взв'!$D$6:$J$76,4,0)</f>
        <v>#N/A</v>
      </c>
      <c r="E16" s="330" t="str">
        <f>VLOOKUP($B16,'Пр.взв'!$D$6:$J$76,6,0)</f>
        <v>#N/A</v>
      </c>
      <c r="F16" s="331" t="str">
        <f>VLOOKUP($B16,'Пр.взв'!$D$6:$J$76,7,0)</f>
        <v>#N/A</v>
      </c>
      <c r="G16" s="331" t="str">
        <f>VLOOKUP($B16,'Пр.взв'!$D$6:$M$76,8,0)</f>
        <v>#N/A</v>
      </c>
      <c r="H16" s="331" t="str">
        <f>VLOOKUP($B16,'Пр.взв'!$D$6:$M$76,10,0)</f>
        <v>#N/A</v>
      </c>
    </row>
    <row r="17">
      <c r="A17" s="335">
        <v>12.0</v>
      </c>
      <c r="B17" s="328" t="str">
        <f t="array" ref="B17">INDEX('Пр.хода'!$B$6:'Пр.хода'!$B$148,MATCH("12",'Пр.хода'!$AE$6:'Пр.хода'!$AE$148,0),MATCH("№ п/ж",'Пр.хода'!$B$4:'Пр.хода'!$D$4,0))</f>
        <v>#N/A</v>
      </c>
      <c r="C17" s="329" t="str">
        <f>VLOOKUP($B17,'Пр.взв'!$D$6:$J$76,3,0)</f>
        <v>#N/A</v>
      </c>
      <c r="D17" s="330" t="str">
        <f>VLOOKUP($B17,'Пр.взв'!$D$6:$J$76,4,0)</f>
        <v>#N/A</v>
      </c>
      <c r="E17" s="330" t="str">
        <f>VLOOKUP($B17,'Пр.взв'!$D$6:$J$76,6,0)</f>
        <v>#N/A</v>
      </c>
      <c r="F17" s="331" t="str">
        <f>VLOOKUP($B17,'Пр.взв'!$D$6:$J$76,7,0)</f>
        <v>#N/A</v>
      </c>
      <c r="G17" s="331" t="str">
        <f>VLOOKUP($B17,'Пр.взв'!$D$6:$M$76,8,0)</f>
        <v>#N/A</v>
      </c>
      <c r="H17" s="331" t="str">
        <f>VLOOKUP($B17,'Пр.взв'!$D$6:$M$76,10,0)</f>
        <v>#N/A</v>
      </c>
    </row>
    <row r="18">
      <c r="A18" s="335">
        <v>13.0</v>
      </c>
      <c r="B18" s="328" t="str">
        <f t="array" ref="B18">INDEX('Пр.хода'!$B$6:'Пр.хода'!$B$148,MATCH("13",'Пр.хода'!$AE$6:'Пр.хода'!$AE$148,0),MATCH("№ п/ж",'Пр.хода'!$B$4:'Пр.хода'!$D$4,0))</f>
        <v>#N/A</v>
      </c>
      <c r="C18" s="329" t="str">
        <f>VLOOKUP($B18,'Пр.взв'!$D$6:$J$76,3,0)</f>
        <v>#N/A</v>
      </c>
      <c r="D18" s="330" t="str">
        <f>VLOOKUP($B18,'Пр.взв'!$D$6:$J$76,4,0)</f>
        <v>#N/A</v>
      </c>
      <c r="E18" s="330" t="str">
        <f>VLOOKUP($B18,'Пр.взв'!$D$6:$J$76,6,0)</f>
        <v>#N/A</v>
      </c>
      <c r="F18" s="331" t="str">
        <f>VLOOKUP($B18,'Пр.взв'!$D$6:$J$76,7,0)</f>
        <v>#N/A</v>
      </c>
      <c r="G18" s="331" t="str">
        <f>VLOOKUP($B18,'Пр.взв'!$D$6:$M$76,8,0)</f>
        <v>#N/A</v>
      </c>
      <c r="H18" s="331" t="str">
        <f>VLOOKUP($B18,'Пр.взв'!$D$6:$M$76,10,0)</f>
        <v>#N/A</v>
      </c>
    </row>
    <row r="19">
      <c r="A19" s="335">
        <v>14.0</v>
      </c>
      <c r="B19" s="328" t="str">
        <f t="array" ref="B19">INDEX('Пр.хода'!$B$6:'Пр.хода'!$B$148,MATCH("14",'Пр.хода'!$AE$6:'Пр.хода'!$AE$148,0),MATCH("№ п/ж",'Пр.хода'!$B$4:'Пр.хода'!$D$4,0))</f>
        <v>#N/A</v>
      </c>
      <c r="C19" s="329" t="str">
        <f>VLOOKUP($B19,'Пр.взв'!$D$6:$J$76,3,0)</f>
        <v>#N/A</v>
      </c>
      <c r="D19" s="330" t="str">
        <f>VLOOKUP($B19,'Пр.взв'!$D$6:$J$76,4,0)</f>
        <v>#N/A</v>
      </c>
      <c r="E19" s="330" t="str">
        <f>VLOOKUP($B19,'Пр.взв'!$D$6:$J$76,6,0)</f>
        <v>#N/A</v>
      </c>
      <c r="F19" s="331" t="str">
        <f>VLOOKUP($B19,'Пр.взв'!$D$6:$J$76,7,0)</f>
        <v>#N/A</v>
      </c>
      <c r="G19" s="331" t="str">
        <f>VLOOKUP($B19,'Пр.взв'!$D$6:$M$76,8,0)</f>
        <v>#N/A</v>
      </c>
      <c r="H19" s="331" t="str">
        <f>VLOOKUP($B19,'Пр.взв'!$D$6:$M$76,10,0)</f>
        <v>#N/A</v>
      </c>
    </row>
    <row r="20">
      <c r="A20" s="335">
        <v>15.0</v>
      </c>
      <c r="B20" s="328" t="str">
        <f t="array" ref="B20">INDEX('Пр.хода'!$B$6:'Пр.хода'!$B$148,MATCH("15",'Пр.хода'!$AE$6:'Пр.хода'!$AE$148,0),MATCH("№ п/ж",'Пр.хода'!$B$4:'Пр.хода'!$D$4,0))</f>
        <v>#N/A</v>
      </c>
      <c r="C20" s="329" t="str">
        <f>VLOOKUP($B20,'Пр.взв'!$D$6:$J$76,3,0)</f>
        <v>#N/A</v>
      </c>
      <c r="D20" s="330" t="str">
        <f>VLOOKUP($B20,'Пр.взв'!$D$6:$J$76,4,0)</f>
        <v>#N/A</v>
      </c>
      <c r="E20" s="330" t="str">
        <f>VLOOKUP($B20,'Пр.взв'!$D$6:$J$76,6,0)</f>
        <v>#N/A</v>
      </c>
      <c r="F20" s="331" t="str">
        <f>VLOOKUP($B20,'Пр.взв'!$D$6:$J$76,7,0)</f>
        <v>#N/A</v>
      </c>
      <c r="G20" s="331" t="str">
        <f>VLOOKUP($B20,'Пр.взв'!$D$6:$M$76,8,0)</f>
        <v>#N/A</v>
      </c>
      <c r="H20" s="331" t="str">
        <f>VLOOKUP($B20,'Пр.взв'!$D$6:$M$76,10,0)</f>
        <v>#N/A</v>
      </c>
    </row>
    <row r="21">
      <c r="A21" s="335">
        <v>16.0</v>
      </c>
      <c r="B21" s="328" t="str">
        <f t="array" ref="B21">INDEX('Пр.хода'!$B$6:'Пр.хода'!$B$148,MATCH("16",'Пр.хода'!$AE$6:'Пр.хода'!$AE$148,0),MATCH("№ п/ж",'Пр.хода'!$B$4:'Пр.хода'!$D$4,0))</f>
        <v>#N/A</v>
      </c>
      <c r="C21" s="329" t="str">
        <f>VLOOKUP($B21,'Пр.взв'!$D$6:$J$76,3,0)</f>
        <v>#N/A</v>
      </c>
      <c r="D21" s="330" t="str">
        <f>VLOOKUP($B21,'Пр.взв'!$D$6:$J$76,4,0)</f>
        <v>#N/A</v>
      </c>
      <c r="E21" s="330" t="str">
        <f>VLOOKUP($B21,'Пр.взв'!$D$6:$J$76,6,0)</f>
        <v>#N/A</v>
      </c>
      <c r="F21" s="331" t="str">
        <f>VLOOKUP($B21,'Пр.взв'!$D$6:$J$76,7,0)</f>
        <v>#N/A</v>
      </c>
      <c r="G21" s="331" t="str">
        <f>VLOOKUP($B21,'Пр.взв'!$D$6:$M$76,8,0)</f>
        <v>#N/A</v>
      </c>
      <c r="H21" s="331" t="str">
        <f>VLOOKUP($B21,'Пр.взв'!$D$6:$M$76,10,0)</f>
        <v>#N/A</v>
      </c>
    </row>
    <row r="22">
      <c r="A22" s="335">
        <v>17.0</v>
      </c>
      <c r="B22" s="328" t="str">
        <f t="array" ref="B22">INDEX('Пр.хода'!$B$6:'Пр.хода'!$B$148,MATCH("17",'Пр.хода'!$AE$6:'Пр.хода'!$AE$148,0),MATCH("№ п/ж",'Пр.хода'!$B$4:'Пр.хода'!$D$4,0))</f>
        <v>#N/A</v>
      </c>
      <c r="C22" s="329" t="str">
        <f>VLOOKUP($B22,'Пр.взв'!$D$6:$J$76,3,0)</f>
        <v>#N/A</v>
      </c>
      <c r="D22" s="330" t="str">
        <f>VLOOKUP($B22,'Пр.взв'!$D$6:$J$76,4,0)</f>
        <v>#N/A</v>
      </c>
      <c r="E22" s="330" t="str">
        <f>VLOOKUP($B22,'Пр.взв'!$D$6:$J$76,6,0)</f>
        <v>#N/A</v>
      </c>
      <c r="F22" s="331" t="str">
        <f>VLOOKUP($B22,'Пр.взв'!$D$6:$J$76,7,0)</f>
        <v>#N/A</v>
      </c>
      <c r="G22" s="331" t="str">
        <f>VLOOKUP($B22,'Пр.взв'!$D$6:$M$76,8,0)</f>
        <v>#N/A</v>
      </c>
      <c r="H22" s="331" t="str">
        <f>VLOOKUP($B22,'Пр.взв'!$D$6:$M$76,10,0)</f>
        <v>#N/A</v>
      </c>
    </row>
    <row r="23">
      <c r="A23" s="335">
        <v>18.0</v>
      </c>
      <c r="B23" s="328" t="str">
        <f t="array" ref="B23">INDEX('Пр.хода'!$B$6:'Пр.хода'!$B$148,MATCH("18",'Пр.хода'!$AE$6:'Пр.хода'!$AE$148,0),MATCH("№ п/ж",'Пр.хода'!$B$4:'Пр.хода'!$D$4,0))</f>
        <v>#N/A</v>
      </c>
      <c r="C23" s="329" t="str">
        <f>VLOOKUP($B23,'Пр.взв'!$D$6:$J$76,3,0)</f>
        <v>#N/A</v>
      </c>
      <c r="D23" s="330" t="str">
        <f>VLOOKUP($B23,'Пр.взв'!$D$6:$J$76,4,0)</f>
        <v>#N/A</v>
      </c>
      <c r="E23" s="330" t="str">
        <f>VLOOKUP($B23,'Пр.взв'!$D$6:$J$76,6,0)</f>
        <v>#N/A</v>
      </c>
      <c r="F23" s="331" t="str">
        <f>VLOOKUP($B23,'Пр.взв'!$D$6:$J$76,7,0)</f>
        <v>#N/A</v>
      </c>
      <c r="G23" s="331" t="str">
        <f>VLOOKUP($B23,'Пр.взв'!$D$6:$M$76,8,0)</f>
        <v>#N/A</v>
      </c>
      <c r="H23" s="331" t="str">
        <f>VLOOKUP($B23,'Пр.взв'!$D$6:$M$76,10,0)</f>
        <v>#N/A</v>
      </c>
    </row>
    <row r="24">
      <c r="A24" s="335">
        <v>19.0</v>
      </c>
      <c r="B24" s="328" t="str">
        <f t="array" ref="B24">INDEX('Пр.хода'!$B$6:'Пр.хода'!$B$148,MATCH("19",'Пр.хода'!$AE$6:'Пр.хода'!$AE$148,0),MATCH("№ п/ж",'Пр.хода'!$B$4:'Пр.хода'!$D$4,0))</f>
        <v>#N/A</v>
      </c>
      <c r="C24" s="329" t="str">
        <f>VLOOKUP($B24,'Пр.взв'!$D$6:$J$76,3,0)</f>
        <v>#N/A</v>
      </c>
      <c r="D24" s="330" t="str">
        <f>VLOOKUP($B24,'Пр.взв'!$D$6:$J$76,4,0)</f>
        <v>#N/A</v>
      </c>
      <c r="E24" s="330" t="str">
        <f>VLOOKUP($B24,'Пр.взв'!$D$6:$J$76,6,0)</f>
        <v>#N/A</v>
      </c>
      <c r="F24" s="331" t="str">
        <f>VLOOKUP($B24,'Пр.взв'!$D$6:$J$76,7,0)</f>
        <v>#N/A</v>
      </c>
      <c r="G24" s="331" t="str">
        <f>VLOOKUP($B24,'Пр.взв'!$D$6:$M$76,8,0)</f>
        <v>#N/A</v>
      </c>
      <c r="H24" s="331" t="str">
        <f>VLOOKUP($B24,'Пр.взв'!$D$6:$M$76,10,0)</f>
        <v>#N/A</v>
      </c>
    </row>
    <row r="25">
      <c r="A25" s="335">
        <v>20.0</v>
      </c>
      <c r="B25" s="328" t="str">
        <f t="array" ref="B25">INDEX('Пр.хода'!$B$6:'Пр.хода'!$B$148,MATCH("20",'Пр.хода'!$AE$6:'Пр.хода'!$AE$148,0),MATCH("№ п/ж",'Пр.хода'!$B$4:'Пр.хода'!$D$4,0))</f>
        <v>#N/A</v>
      </c>
      <c r="C25" s="329" t="str">
        <f>VLOOKUP($B25,'Пр.взв'!$D$6:$J$76,3,0)</f>
        <v>#N/A</v>
      </c>
      <c r="D25" s="330" t="str">
        <f>VLOOKUP($B25,'Пр.взв'!$D$6:$J$76,4,0)</f>
        <v>#N/A</v>
      </c>
      <c r="E25" s="330" t="str">
        <f>VLOOKUP($B25,'Пр.взв'!$D$6:$J$76,6,0)</f>
        <v>#N/A</v>
      </c>
      <c r="F25" s="331" t="str">
        <f>VLOOKUP($B25,'Пр.взв'!$D$6:$J$76,7,0)</f>
        <v>#N/A</v>
      </c>
      <c r="G25" s="331" t="str">
        <f>VLOOKUP($B25,'Пр.взв'!$D$6:$M$76,8,0)</f>
        <v>#N/A</v>
      </c>
      <c r="H25" s="331" t="str">
        <f>VLOOKUP($B25,'Пр.взв'!$D$6:$M$76,10,0)</f>
        <v>#N/A</v>
      </c>
    </row>
    <row r="26">
      <c r="A26" s="335">
        <v>21.0</v>
      </c>
      <c r="B26" s="328" t="str">
        <f t="array" ref="B26">INDEX('Пр.хода'!$B$6:'Пр.хода'!$B$148,MATCH("21",'Пр.хода'!$AE$6:'Пр.хода'!$AE$148,0),MATCH("№ п/ж",'Пр.хода'!$B$4:'Пр.хода'!$D$4,0))</f>
        <v>#N/A</v>
      </c>
      <c r="C26" s="329" t="str">
        <f>VLOOKUP($B26,'Пр.взв'!$D$6:$J$76,3,0)</f>
        <v>#N/A</v>
      </c>
      <c r="D26" s="330" t="str">
        <f>VLOOKUP($B26,'Пр.взв'!$D$6:$J$76,4,0)</f>
        <v>#N/A</v>
      </c>
      <c r="E26" s="330" t="str">
        <f>VLOOKUP($B26,'Пр.взв'!$D$6:$J$76,6,0)</f>
        <v>#N/A</v>
      </c>
      <c r="F26" s="331" t="str">
        <f>VLOOKUP($B26,'Пр.взв'!$D$6:$J$76,7,0)</f>
        <v>#N/A</v>
      </c>
      <c r="G26" s="331" t="str">
        <f>VLOOKUP($B26,'Пр.взв'!$D$6:$M$76,8,0)</f>
        <v>#N/A</v>
      </c>
      <c r="H26" s="331" t="str">
        <f>VLOOKUP($B26,'Пр.взв'!$D$6:$M$76,10,0)</f>
        <v>#N/A</v>
      </c>
    </row>
    <row r="27">
      <c r="A27" s="335">
        <v>22.0</v>
      </c>
      <c r="B27" s="328" t="str">
        <f t="array" ref="B27">INDEX('Пр.хода'!$B$6:'Пр.хода'!$B$148,MATCH("22",'Пр.хода'!$AE$6:'Пр.хода'!$AE$148,0),MATCH("№ п/ж",'Пр.хода'!$B$4:'Пр.хода'!$D$4,0))</f>
        <v>#N/A</v>
      </c>
      <c r="C27" s="329" t="str">
        <f>VLOOKUP($B27,'Пр.взв'!$D$6:$J$76,3,0)</f>
        <v>#N/A</v>
      </c>
      <c r="D27" s="330" t="str">
        <f>VLOOKUP($B27,'Пр.взв'!$D$6:$J$76,4,0)</f>
        <v>#N/A</v>
      </c>
      <c r="E27" s="330" t="str">
        <f>VLOOKUP($B27,'Пр.взв'!$D$6:$J$76,6,0)</f>
        <v>#N/A</v>
      </c>
      <c r="F27" s="331" t="str">
        <f>VLOOKUP($B27,'Пр.взв'!$D$6:$J$76,7,0)</f>
        <v>#N/A</v>
      </c>
      <c r="G27" s="331" t="str">
        <f>VLOOKUP($B27,'Пр.взв'!$D$6:$M$76,8,0)</f>
        <v>#N/A</v>
      </c>
      <c r="H27" s="331" t="str">
        <f>VLOOKUP($B27,'Пр.взв'!$D$6:$M$76,10,0)</f>
        <v>#N/A</v>
      </c>
    </row>
    <row r="28">
      <c r="A28" s="335">
        <v>23.0</v>
      </c>
      <c r="B28" s="328" t="str">
        <f t="array" ref="B28">INDEX('Пр.хода'!$B$6:'Пр.хода'!$B$148,MATCH("23",'Пр.хода'!$AE$6:'Пр.хода'!$AE$148,0),MATCH("№ п/ж",'Пр.хода'!$B$4:'Пр.хода'!$D$4,0))</f>
        <v>#N/A</v>
      </c>
      <c r="C28" s="329" t="str">
        <f>VLOOKUP($B28,'Пр.взв'!$D$6:$J$76,3,0)</f>
        <v>#N/A</v>
      </c>
      <c r="D28" s="330" t="str">
        <f>VLOOKUP($B28,'Пр.взв'!$D$6:$J$76,4,0)</f>
        <v>#N/A</v>
      </c>
      <c r="E28" s="330" t="str">
        <f>VLOOKUP($B28,'Пр.взв'!$D$6:$J$76,6,0)</f>
        <v>#N/A</v>
      </c>
      <c r="F28" s="331" t="str">
        <f>VLOOKUP($B28,'Пр.взв'!$D$6:$J$76,7,0)</f>
        <v>#N/A</v>
      </c>
      <c r="G28" s="331" t="str">
        <f>VLOOKUP($B28,'Пр.взв'!$D$6:$M$76,8,0)</f>
        <v>#N/A</v>
      </c>
      <c r="H28" s="331" t="str">
        <f>VLOOKUP($B28,'Пр.взв'!$D$6:$M$76,10,0)</f>
        <v>#N/A</v>
      </c>
    </row>
    <row r="29">
      <c r="A29" s="335">
        <v>24.0</v>
      </c>
      <c r="B29" s="328" t="str">
        <f t="array" ref="B29">INDEX('Пр.хода'!$B$6:'Пр.хода'!$B$148,MATCH("24",'Пр.хода'!$AE$6:'Пр.хода'!$AE$148,0),MATCH("№ п/ж",'Пр.хода'!$B$4:'Пр.хода'!$D$4,0))</f>
        <v>#N/A</v>
      </c>
      <c r="C29" s="329" t="str">
        <f>VLOOKUP($B29,'Пр.взв'!$D$6:$J$76,3,0)</f>
        <v>#N/A</v>
      </c>
      <c r="D29" s="330" t="str">
        <f>VLOOKUP($B29,'Пр.взв'!$D$6:$J$76,4,0)</f>
        <v>#N/A</v>
      </c>
      <c r="E29" s="330" t="str">
        <f>VLOOKUP($B29,'Пр.взв'!$D$6:$J$76,6,0)</f>
        <v>#N/A</v>
      </c>
      <c r="F29" s="331" t="str">
        <f>VLOOKUP($B29,'Пр.взв'!$D$6:$J$76,7,0)</f>
        <v>#N/A</v>
      </c>
      <c r="G29" s="331" t="str">
        <f>VLOOKUP($B29,'Пр.взв'!$D$6:$M$76,8,0)</f>
        <v>#N/A</v>
      </c>
      <c r="H29" s="331" t="str">
        <f>VLOOKUP($B29,'Пр.взв'!$D$6:$M$76,10,0)</f>
        <v>#N/A</v>
      </c>
    </row>
    <row r="30" hidden="1">
      <c r="A30" s="335">
        <v>25.0</v>
      </c>
      <c r="B30" s="328" t="str">
        <f t="array" ref="B30">INDEX('Пр.хода'!$B$6:'Пр.хода'!$B$148,MATCH("25",'Пр.хода'!$AE$6:'Пр.хода'!$AE$148,0),MATCH("№ п/ж",'Пр.хода'!$B$4:'Пр.хода'!$D$4,0))</f>
        <v>#N/A</v>
      </c>
      <c r="C30" s="329" t="str">
        <f>VLOOKUP($B30,'Пр.взв'!$D$6:$J$76,3,0)</f>
        <v>#N/A</v>
      </c>
      <c r="D30" s="330" t="str">
        <f>VLOOKUP($B30,'Пр.взв'!$D$6:$J$76,4,0)</f>
        <v>#N/A</v>
      </c>
      <c r="E30" s="330" t="str">
        <f>VLOOKUP($B30,'Пр.взв'!$D$6:$J$76,6,0)</f>
        <v>#N/A</v>
      </c>
      <c r="F30" s="331" t="str">
        <f>VLOOKUP($B30,'Пр.взв'!$D$6:$J$76,7,0)</f>
        <v>#N/A</v>
      </c>
      <c r="G30" s="331" t="str">
        <f>VLOOKUP($B30,'Пр.взв'!$D$6:$M$76,8,0)</f>
        <v>#N/A</v>
      </c>
      <c r="H30" s="331" t="str">
        <f>VLOOKUP($B30,'Пр.взв'!$D$6:$M$76,10,0)</f>
        <v>#N/A</v>
      </c>
    </row>
    <row r="31" hidden="1">
      <c r="A31" s="335">
        <v>26.0</v>
      </c>
      <c r="B31" s="328" t="str">
        <f t="array" ref="B31">INDEX('Пр.хода'!$B$6:'Пр.хода'!$B$148,MATCH("26",'Пр.хода'!$AE$6:'Пр.хода'!$AE$148,0),MATCH("№ п/ж",'Пр.хода'!$B$4:'Пр.хода'!$D$4,0))</f>
        <v>#N/A</v>
      </c>
      <c r="C31" s="329" t="str">
        <f>VLOOKUP($B31,'Пр.взв'!$D$6:$J$76,3,0)</f>
        <v>#N/A</v>
      </c>
      <c r="D31" s="330" t="str">
        <f>VLOOKUP($B31,'Пр.взв'!$D$6:$J$76,4,0)</f>
        <v>#N/A</v>
      </c>
      <c r="E31" s="330" t="str">
        <f>VLOOKUP($B31,'Пр.взв'!$D$6:$J$76,6,0)</f>
        <v>#N/A</v>
      </c>
      <c r="F31" s="331" t="str">
        <f>VLOOKUP($B31,'Пр.взв'!$D$6:$J$76,7,0)</f>
        <v>#N/A</v>
      </c>
      <c r="G31" s="331" t="str">
        <f>VLOOKUP($B31,'Пр.взв'!$D$6:$M$76,8,0)</f>
        <v>#N/A</v>
      </c>
      <c r="H31" s="331" t="str">
        <f>VLOOKUP($B31,'Пр.взв'!$D$6:$M$76,10,0)</f>
        <v>#N/A</v>
      </c>
    </row>
    <row r="32" hidden="1">
      <c r="A32" s="335">
        <v>27.0</v>
      </c>
      <c r="B32" s="328" t="str">
        <f t="array" ref="B32">INDEX('Пр.хода'!$B$6:'Пр.хода'!$B$148,MATCH("27",'Пр.хода'!$AE$6:'Пр.хода'!$AE$148,0),MATCH("№ п/ж",'Пр.хода'!$B$4:'Пр.хода'!$D$4,0))</f>
        <v>#N/A</v>
      </c>
      <c r="C32" s="329" t="str">
        <f>VLOOKUP($B32,'Пр.взв'!$D$6:$J$76,3,0)</f>
        <v>#N/A</v>
      </c>
      <c r="D32" s="330" t="str">
        <f>VLOOKUP($B32,'Пр.взв'!$D$6:$J$76,4,0)</f>
        <v>#N/A</v>
      </c>
      <c r="E32" s="330" t="str">
        <f>VLOOKUP($B32,'Пр.взв'!$D$6:$J$76,6,0)</f>
        <v>#N/A</v>
      </c>
      <c r="F32" s="331" t="str">
        <f>VLOOKUP($B32,'Пр.взв'!$D$6:$J$76,7,0)</f>
        <v>#N/A</v>
      </c>
      <c r="G32" s="331" t="str">
        <f>VLOOKUP($B32,'Пр.взв'!$D$6:$M$76,8,0)</f>
        <v>#N/A</v>
      </c>
      <c r="H32" s="331" t="str">
        <f>VLOOKUP($B32,'Пр.взв'!$D$6:$M$76,10,0)</f>
        <v>#N/A</v>
      </c>
    </row>
    <row r="33" hidden="1">
      <c r="A33" s="335">
        <v>28.0</v>
      </c>
      <c r="B33" s="328" t="str">
        <f t="array" ref="B33">INDEX('Пр.хода'!$B$6:'Пр.хода'!$B$148,MATCH("28",'Пр.хода'!$AE$6:'Пр.хода'!$AE$148,0),MATCH("№ п/ж",'Пр.хода'!$B$4:'Пр.хода'!$D$4,0))</f>
        <v>#N/A</v>
      </c>
      <c r="C33" s="329" t="str">
        <f>VLOOKUP($B33,'Пр.взв'!$D$6:$J$76,3,0)</f>
        <v>#N/A</v>
      </c>
      <c r="D33" s="330" t="str">
        <f>VLOOKUP($B33,'Пр.взв'!$D$6:$J$76,4,0)</f>
        <v>#N/A</v>
      </c>
      <c r="E33" s="330" t="str">
        <f>VLOOKUP($B33,'Пр.взв'!$D$6:$J$76,6,0)</f>
        <v>#N/A</v>
      </c>
      <c r="F33" s="331" t="str">
        <f>VLOOKUP($B33,'Пр.взв'!$D$6:$J$76,7,0)</f>
        <v>#N/A</v>
      </c>
      <c r="G33" s="331" t="str">
        <f>VLOOKUP($B33,'Пр.взв'!$D$6:$M$76,8,0)</f>
        <v>#N/A</v>
      </c>
      <c r="H33" s="331" t="str">
        <f>VLOOKUP($B33,'Пр.взв'!$D$6:$M$76,10,0)</f>
        <v>#N/A</v>
      </c>
    </row>
    <row r="34" hidden="1">
      <c r="A34" s="335">
        <v>29.0</v>
      </c>
      <c r="B34" s="328" t="str">
        <f t="array" ref="B34">INDEX('Пр.хода'!$B$6:'Пр.хода'!$B$148,MATCH("29",'Пр.хода'!$AE$6:'Пр.хода'!$AE$148,0),MATCH("№ п/ж",'Пр.хода'!$B$4:'Пр.хода'!$D$4,0))</f>
        <v>#N/A</v>
      </c>
      <c r="C34" s="329" t="str">
        <f>VLOOKUP($B34,'Пр.взв'!$D$6:$J$76,3,0)</f>
        <v>#N/A</v>
      </c>
      <c r="D34" s="330" t="str">
        <f>VLOOKUP($B34,'Пр.взв'!$D$6:$J$76,4,0)</f>
        <v>#N/A</v>
      </c>
      <c r="E34" s="330" t="str">
        <f>VLOOKUP($B34,'Пр.взв'!$D$6:$J$76,6,0)</f>
        <v>#N/A</v>
      </c>
      <c r="F34" s="331" t="str">
        <f>VLOOKUP($B34,'Пр.взв'!$D$6:$J$76,7,0)</f>
        <v>#N/A</v>
      </c>
      <c r="G34" s="331" t="str">
        <f>VLOOKUP($B34,'Пр.взв'!$D$6:$M$76,8,0)</f>
        <v>#N/A</v>
      </c>
      <c r="H34" s="331" t="str">
        <f>VLOOKUP($B34,'Пр.взв'!$D$6:$M$76,10,0)</f>
        <v>#N/A</v>
      </c>
    </row>
    <row r="35" hidden="1">
      <c r="A35" s="335">
        <v>30.0</v>
      </c>
      <c r="B35" s="328" t="str">
        <f t="array" ref="B35">INDEX('Пр.хода'!$B$6:'Пр.хода'!$B$148,MATCH("30",'Пр.хода'!$AE$6:'Пр.хода'!$AE$148,0),MATCH("№ п/ж",'Пр.хода'!$B$4:'Пр.хода'!$D$4,0))</f>
        <v>#N/A</v>
      </c>
      <c r="C35" s="329" t="str">
        <f>VLOOKUP($B35,'Пр.взв'!$D$6:$J$76,3,0)</f>
        <v>#N/A</v>
      </c>
      <c r="D35" s="330" t="str">
        <f>VLOOKUP($B35,'Пр.взв'!$D$6:$J$76,4,0)</f>
        <v>#N/A</v>
      </c>
      <c r="E35" s="330" t="str">
        <f>VLOOKUP($B35,'Пр.взв'!$D$6:$J$76,6,0)</f>
        <v>#N/A</v>
      </c>
      <c r="F35" s="331" t="str">
        <f>VLOOKUP($B35,'Пр.взв'!$D$6:$J$76,7,0)</f>
        <v>#N/A</v>
      </c>
      <c r="G35" s="331" t="str">
        <f>VLOOKUP($B35,'Пр.взв'!$D$6:$M$76,8,0)</f>
        <v>#N/A</v>
      </c>
      <c r="H35" s="331" t="str">
        <f>VLOOKUP($B35,'Пр.взв'!$D$6:$M$76,10,0)</f>
        <v>#N/A</v>
      </c>
    </row>
    <row r="36" hidden="1">
      <c r="A36" s="335">
        <v>31.0</v>
      </c>
      <c r="B36" s="328" t="str">
        <f t="array" ref="B36">INDEX('Пр.хода'!$B$6:'Пр.хода'!$B$148,MATCH("31",'Пр.хода'!$AE$6:'Пр.хода'!$AE$148,0),MATCH("№ п/ж",'Пр.хода'!$B$4:'Пр.хода'!$D$4,0))</f>
        <v>#N/A</v>
      </c>
      <c r="C36" s="329" t="str">
        <f>VLOOKUP($B36,'Пр.взв'!$D$6:$J$76,3,0)</f>
        <v>#N/A</v>
      </c>
      <c r="D36" s="330" t="str">
        <f>VLOOKUP($B36,'Пр.взв'!$D$6:$J$76,4,0)</f>
        <v>#N/A</v>
      </c>
      <c r="E36" s="330" t="str">
        <f>VLOOKUP($B36,'Пр.взв'!$D$6:$J$76,6,0)</f>
        <v>#N/A</v>
      </c>
      <c r="F36" s="331" t="str">
        <f>VLOOKUP($B36,'Пр.взв'!$D$6:$J$76,7,0)</f>
        <v>#N/A</v>
      </c>
      <c r="G36" s="331" t="str">
        <f>VLOOKUP($B36,'Пр.взв'!$D$6:$M$76,8,0)</f>
        <v>#N/A</v>
      </c>
      <c r="H36" s="331" t="str">
        <f>VLOOKUP($B36,'Пр.взв'!$D$6:$M$76,10,0)</f>
        <v>#N/A</v>
      </c>
    </row>
    <row r="37" hidden="1">
      <c r="A37" s="335">
        <v>32.0</v>
      </c>
      <c r="B37" s="328" t="str">
        <f t="array" ref="B37">INDEX('Пр.хода'!$B$6:'Пр.хода'!$B$148,MATCH("32",'Пр.хода'!$AE$6:'Пр.хода'!$AE$148,0),MATCH("№ п/ж",'Пр.хода'!$B$4:'Пр.хода'!$D$4,0))</f>
        <v>#N/A</v>
      </c>
      <c r="C37" s="329" t="str">
        <f>VLOOKUP($B37,'Пр.взв'!$D$6:$J$76,3,0)</f>
        <v>#N/A</v>
      </c>
      <c r="D37" s="330" t="str">
        <f>VLOOKUP($B37,'Пр.взв'!$D$6:$J$76,4,0)</f>
        <v>#N/A</v>
      </c>
      <c r="E37" s="330" t="str">
        <f>VLOOKUP($B37,'Пр.взв'!$D$6:$J$76,6,0)</f>
        <v>#N/A</v>
      </c>
      <c r="F37" s="331" t="str">
        <f>VLOOKUP($B37,'Пр.взв'!$D$6:$J$76,7,0)</f>
        <v>#N/A</v>
      </c>
      <c r="G37" s="331" t="str">
        <f>VLOOKUP($B37,'Пр.взв'!$D$6:$M$76,8,0)</f>
        <v>#N/A</v>
      </c>
      <c r="H37" s="331" t="str">
        <f>VLOOKUP($B37,'Пр.взв'!$D$6:$M$76,10,0)</f>
        <v>#N/A</v>
      </c>
    </row>
    <row r="38" hidden="1">
      <c r="A38" s="335">
        <v>33.0</v>
      </c>
      <c r="B38" s="328" t="str">
        <f t="array" ref="B38">INDEX('Пр.хода'!$B$6:'Пр.хода'!$B$148,MATCH("33",'Пр.хода'!$AE$6:'Пр.хода'!$AE$148,0),MATCH("№ п/ж",'Пр.хода'!$B$4:'Пр.хода'!$D$4,0))</f>
        <v>#N/A</v>
      </c>
      <c r="C38" s="329" t="str">
        <f>VLOOKUP($B38,'Пр.взв'!$D$6:$J$76,3,0)</f>
        <v>#N/A</v>
      </c>
      <c r="D38" s="330" t="str">
        <f>VLOOKUP($B38,'Пр.взв'!$D$6:$J$76,4,0)</f>
        <v>#N/A</v>
      </c>
      <c r="E38" s="330" t="str">
        <f>VLOOKUP($B38,'Пр.взв'!$D$6:$J$76,6,0)</f>
        <v>#N/A</v>
      </c>
      <c r="F38" s="331" t="str">
        <f>VLOOKUP($B38,'Пр.взв'!$D$6:$J$76,7,0)</f>
        <v>#N/A</v>
      </c>
      <c r="G38" s="331" t="str">
        <f>VLOOKUP($B38,'Пр.взв'!$D$6:$M$76,8,0)</f>
        <v>#N/A</v>
      </c>
      <c r="H38" s="331" t="str">
        <f>VLOOKUP($B38,'Пр.взв'!$D$6:$M$76,10,0)</f>
        <v>#N/A</v>
      </c>
    </row>
    <row r="39" hidden="1">
      <c r="A39" s="335">
        <v>34.0</v>
      </c>
      <c r="B39" s="328" t="str">
        <f t="array" ref="B39">INDEX('Пр.хода'!$B$6:'Пр.хода'!$B$148,MATCH("34",'Пр.хода'!$AE$6:'Пр.хода'!$AE$148,0),MATCH("№ п/ж",'Пр.хода'!$B$4:'Пр.хода'!$D$4,0))</f>
        <v>#N/A</v>
      </c>
      <c r="C39" s="329" t="str">
        <f>VLOOKUP($B39,'Пр.взв'!$D$6:$J$76,3,0)</f>
        <v>#N/A</v>
      </c>
      <c r="D39" s="330" t="str">
        <f>VLOOKUP($B39,'Пр.взв'!$D$6:$J$76,4,0)</f>
        <v>#N/A</v>
      </c>
      <c r="E39" s="330" t="str">
        <f>VLOOKUP($B39,'Пр.взв'!$D$6:$J$76,6,0)</f>
        <v>#N/A</v>
      </c>
      <c r="F39" s="331" t="str">
        <f>VLOOKUP($B39,'Пр.взв'!$D$6:$J$76,7,0)</f>
        <v>#N/A</v>
      </c>
      <c r="G39" s="331" t="str">
        <f>VLOOKUP($B39,'Пр.взв'!$D$6:$M$76,8,0)</f>
        <v>#N/A</v>
      </c>
      <c r="H39" s="331" t="str">
        <f>VLOOKUP($B39,'Пр.взв'!$D$6:$M$76,10,0)</f>
        <v>#N/A</v>
      </c>
    </row>
    <row r="40" hidden="1">
      <c r="A40" s="335">
        <v>35.0</v>
      </c>
      <c r="B40" s="328" t="str">
        <f t="array" ref="B40">INDEX('Пр.хода'!$B$6:'Пр.хода'!$B$148,MATCH("35",'Пр.хода'!$AE$6:'Пр.хода'!$AE$148,0),MATCH("№ п/ж",'Пр.хода'!$B$4:'Пр.хода'!$D$4,0))</f>
        <v>#N/A</v>
      </c>
      <c r="C40" s="329" t="str">
        <f>VLOOKUP($B40,'Пр.взв'!$D$6:$J$76,3,0)</f>
        <v>#N/A</v>
      </c>
      <c r="D40" s="330" t="str">
        <f>VLOOKUP($B40,'Пр.взв'!$D$6:$J$76,4,0)</f>
        <v>#N/A</v>
      </c>
      <c r="E40" s="330" t="str">
        <f>VLOOKUP($B40,'Пр.взв'!$D$6:$J$76,6,0)</f>
        <v>#N/A</v>
      </c>
      <c r="F40" s="331" t="str">
        <f>VLOOKUP($B40,'Пр.взв'!$D$6:$J$76,7,0)</f>
        <v>#N/A</v>
      </c>
      <c r="G40" s="331" t="str">
        <f>VLOOKUP($B40,'Пр.взв'!$D$6:$M$76,8,0)</f>
        <v>#N/A</v>
      </c>
      <c r="H40" s="331" t="str">
        <f>VLOOKUP($B40,'Пр.взв'!$D$6:$M$76,10,0)</f>
        <v>#N/A</v>
      </c>
    </row>
    <row r="41" hidden="1">
      <c r="A41" s="335">
        <v>36.0</v>
      </c>
      <c r="B41" s="328" t="str">
        <f t="array" ref="B41">INDEX('Пр.хода'!$B$6:'Пр.хода'!$B$148,MATCH("36",'Пр.хода'!$AE$6:'Пр.хода'!$AE$148,0),MATCH("№ п/ж",'Пр.хода'!$B$4:'Пр.хода'!$D$4,0))</f>
        <v>#N/A</v>
      </c>
      <c r="C41" s="329" t="str">
        <f>VLOOKUP($B41,'Пр.взв'!$D$6:$J$76,3,0)</f>
        <v>#N/A</v>
      </c>
      <c r="D41" s="330" t="str">
        <f>VLOOKUP($B41,'Пр.взв'!$D$6:$J$76,4,0)</f>
        <v>#N/A</v>
      </c>
      <c r="E41" s="330" t="str">
        <f>VLOOKUP($B41,'Пр.взв'!$D$6:$J$76,6,0)</f>
        <v>#N/A</v>
      </c>
      <c r="F41" s="331" t="str">
        <f>VLOOKUP($B41,'Пр.взв'!$D$6:$J$76,7,0)</f>
        <v>#N/A</v>
      </c>
      <c r="G41" s="331" t="str">
        <f>VLOOKUP($B41,'Пр.взв'!$D$6:$M$76,8,0)</f>
        <v>#N/A</v>
      </c>
      <c r="H41" s="331" t="str">
        <f>VLOOKUP($B41,'Пр.взв'!$D$6:$M$76,10,0)</f>
        <v>#N/A</v>
      </c>
    </row>
    <row r="42" hidden="1">
      <c r="A42" s="335">
        <v>37.0</v>
      </c>
      <c r="B42" s="328" t="str">
        <f t="array" ref="B42">INDEX('Пр.хода'!$B$6:'Пр.хода'!$B$148,MATCH("37",'Пр.хода'!$AE$6:'Пр.хода'!$AE$148,0),MATCH("№ п/ж",'Пр.хода'!$B$4:'Пр.хода'!$D$4,0))</f>
        <v>#N/A</v>
      </c>
      <c r="C42" s="329" t="str">
        <f>VLOOKUP($B42,'Пр.взв'!$D$6:$J$76,3,0)</f>
        <v>#N/A</v>
      </c>
      <c r="D42" s="330" t="str">
        <f>VLOOKUP($B42,'Пр.взв'!$D$6:$J$76,4,0)</f>
        <v>#N/A</v>
      </c>
      <c r="E42" s="330" t="str">
        <f>VLOOKUP($B42,'Пр.взв'!$D$6:$J$76,6,0)</f>
        <v>#N/A</v>
      </c>
      <c r="F42" s="331" t="str">
        <f>VLOOKUP($B42,'Пр.взв'!$D$6:$J$76,7,0)</f>
        <v>#N/A</v>
      </c>
      <c r="G42" s="331" t="str">
        <f>VLOOKUP($B42,'Пр.взв'!$D$6:$M$76,8,0)</f>
        <v>#N/A</v>
      </c>
      <c r="H42" s="331" t="str">
        <f>VLOOKUP($B42,'Пр.взв'!$D$6:$M$76,10,0)</f>
        <v>#N/A</v>
      </c>
    </row>
    <row r="43" hidden="1">
      <c r="A43" s="335">
        <v>38.0</v>
      </c>
      <c r="B43" s="328" t="str">
        <f t="array" ref="B43">INDEX('Пр.хода'!$B$6:'Пр.хода'!$B$148,MATCH("38",'Пр.хода'!$AE$6:'Пр.хода'!$AE$148,0),MATCH("№ п/ж",'Пр.хода'!$B$4:'Пр.хода'!$D$4,0))</f>
        <v>#N/A</v>
      </c>
      <c r="C43" s="329" t="str">
        <f>VLOOKUP($B43,'Пр.взв'!$D$6:$J$76,3,0)</f>
        <v>#N/A</v>
      </c>
      <c r="D43" s="330" t="str">
        <f>VLOOKUP($B43,'Пр.взв'!$D$6:$J$76,4,0)</f>
        <v>#N/A</v>
      </c>
      <c r="E43" s="330" t="str">
        <f>VLOOKUP($B43,'Пр.взв'!$D$6:$J$76,6,0)</f>
        <v>#N/A</v>
      </c>
      <c r="F43" s="331" t="str">
        <f>VLOOKUP($B43,'Пр.взв'!$D$6:$J$76,7,0)</f>
        <v>#N/A</v>
      </c>
      <c r="G43" s="331" t="str">
        <f>VLOOKUP($B43,'Пр.взв'!$D$6:$M$76,8,0)</f>
        <v>#N/A</v>
      </c>
      <c r="H43" s="331" t="str">
        <f>VLOOKUP($B43,'Пр.взв'!$D$6:$M$76,10,0)</f>
        <v>#N/A</v>
      </c>
    </row>
    <row r="44" hidden="1">
      <c r="A44" s="335">
        <v>39.0</v>
      </c>
      <c r="B44" s="328" t="str">
        <f t="array" ref="B44">INDEX('Пр.хода'!$B$6:'Пр.хода'!$B$148,MATCH("39",'Пр.хода'!$AE$6:'Пр.хода'!$AE$148,0),MATCH("№ п/ж",'Пр.хода'!$B$4:'Пр.хода'!$D$4,0))</f>
        <v>#N/A</v>
      </c>
      <c r="C44" s="329" t="str">
        <f>VLOOKUP($B44,'Пр.взв'!$D$6:$J$76,3,0)</f>
        <v>#N/A</v>
      </c>
      <c r="D44" s="330" t="str">
        <f>VLOOKUP($B44,'Пр.взв'!$D$6:$J$76,4,0)</f>
        <v>#N/A</v>
      </c>
      <c r="E44" s="330" t="str">
        <f>VLOOKUP($B44,'Пр.взв'!$D$6:$J$76,6,0)</f>
        <v>#N/A</v>
      </c>
      <c r="F44" s="331" t="str">
        <f>VLOOKUP($B44,'Пр.взв'!$D$6:$J$76,7,0)</f>
        <v>#N/A</v>
      </c>
      <c r="G44" s="331" t="str">
        <f>VLOOKUP($B44,'Пр.взв'!$D$6:$M$76,8,0)</f>
        <v>#N/A</v>
      </c>
      <c r="H44" s="331" t="str">
        <f>VLOOKUP($B44,'Пр.взв'!$D$6:$M$76,10,0)</f>
        <v>#N/A</v>
      </c>
    </row>
    <row r="45" hidden="1">
      <c r="A45" s="335">
        <v>40.0</v>
      </c>
      <c r="B45" s="328" t="str">
        <f t="array" ref="B45">INDEX('Пр.хода'!$B$6:'Пр.хода'!$B$148,MATCH("40",'Пр.хода'!$AE$6:'Пр.хода'!$AE$148,0),MATCH("№ п/ж",'Пр.хода'!$B$4:'Пр.хода'!$D$4,0))</f>
        <v>#N/A</v>
      </c>
      <c r="C45" s="329" t="str">
        <f>VLOOKUP($B45,'Пр.взв'!$D$6:$J$76,3,0)</f>
        <v>#N/A</v>
      </c>
      <c r="D45" s="330" t="str">
        <f>VLOOKUP($B45,'Пр.взв'!$D$6:$J$76,4,0)</f>
        <v>#N/A</v>
      </c>
      <c r="E45" s="330" t="str">
        <f>VLOOKUP($B45,'Пр.взв'!$D$6:$J$76,6,0)</f>
        <v>#N/A</v>
      </c>
      <c r="F45" s="331" t="str">
        <f>VLOOKUP($B45,'Пр.взв'!$D$6:$J$76,7,0)</f>
        <v>#N/A</v>
      </c>
      <c r="G45" s="331" t="str">
        <f>VLOOKUP($B45,'Пр.взв'!$D$6:$M$76,8,0)</f>
        <v>#N/A</v>
      </c>
      <c r="H45" s="331" t="str">
        <f>VLOOKUP($B45,'Пр.взв'!$D$6:$M$76,10,0)</f>
        <v>#N/A</v>
      </c>
    </row>
    <row r="46" hidden="1">
      <c r="A46" s="335">
        <v>41.0</v>
      </c>
      <c r="B46" s="328" t="str">
        <f t="array" ref="B46">INDEX('Пр.хода'!$B$6:'Пр.хода'!$B$148,MATCH("41",'Пр.хода'!$AE$6:'Пр.хода'!$AE$148,0),MATCH("№ п/ж",'Пр.хода'!$B$4:'Пр.хода'!$D$4,0))</f>
        <v>#N/A</v>
      </c>
      <c r="C46" s="329" t="str">
        <f>VLOOKUP($B46,'Пр.взв'!$D$6:$J$76,3,0)</f>
        <v>#N/A</v>
      </c>
      <c r="D46" s="330" t="str">
        <f>VLOOKUP($B46,'Пр.взв'!$D$6:$J$76,4,0)</f>
        <v>#N/A</v>
      </c>
      <c r="E46" s="330" t="str">
        <f>VLOOKUP($B46,'Пр.взв'!$D$6:$J$76,6,0)</f>
        <v>#N/A</v>
      </c>
      <c r="F46" s="331" t="str">
        <f>VLOOKUP($B46,'Пр.взв'!$D$6:$J$76,7,0)</f>
        <v>#N/A</v>
      </c>
      <c r="G46" s="331" t="str">
        <f>VLOOKUP($B46,'Пр.взв'!$D$6:$M$76,8,0)</f>
        <v>#N/A</v>
      </c>
      <c r="H46" s="331" t="str">
        <f>VLOOKUP($B46,'Пр.взв'!$D$6:$M$76,10,0)</f>
        <v>#N/A</v>
      </c>
    </row>
    <row r="47" hidden="1">
      <c r="A47" s="335">
        <v>42.0</v>
      </c>
      <c r="B47" s="328" t="str">
        <f t="array" ref="B47">INDEX('Пр.хода'!$B$6:'Пр.хода'!$B$148,MATCH("42",'Пр.хода'!$AE$6:'Пр.хода'!$AE$148,0),MATCH("№ п/ж",'Пр.хода'!$B$4:'Пр.хода'!$D$4,0))</f>
        <v>#N/A</v>
      </c>
      <c r="C47" s="329" t="str">
        <f>VLOOKUP($B47,'Пр.взв'!$D$6:$J$76,3,0)</f>
        <v>#N/A</v>
      </c>
      <c r="D47" s="330" t="str">
        <f>VLOOKUP($B47,'Пр.взв'!$D$6:$J$76,4,0)</f>
        <v>#N/A</v>
      </c>
      <c r="E47" s="330" t="str">
        <f>VLOOKUP($B47,'Пр.взв'!$D$6:$J$76,6,0)</f>
        <v>#N/A</v>
      </c>
      <c r="F47" s="331" t="str">
        <f>VLOOKUP($B47,'Пр.взв'!$D$6:$J$76,7,0)</f>
        <v>#N/A</v>
      </c>
      <c r="G47" s="331" t="str">
        <f>VLOOKUP($B47,'Пр.взв'!$D$6:$M$76,8,0)</f>
        <v>#N/A</v>
      </c>
      <c r="H47" s="331" t="str">
        <f>VLOOKUP($B47,'Пр.взв'!$D$6:$M$76,10,0)</f>
        <v>#N/A</v>
      </c>
    </row>
    <row r="48" hidden="1">
      <c r="A48" s="335">
        <v>43.0</v>
      </c>
      <c r="B48" s="328" t="str">
        <f t="array" ref="B48">INDEX('Пр.хода'!$B$6:'Пр.хода'!$B$148,MATCH("43",'Пр.хода'!$AE$6:'Пр.хода'!$AE$148,0),MATCH("№ п/ж",'Пр.хода'!$B$4:'Пр.хода'!$D$4,0))</f>
        <v>#N/A</v>
      </c>
      <c r="C48" s="329" t="str">
        <f>VLOOKUP($B48,'Пр.взв'!$D$6:$J$76,3,0)</f>
        <v>#N/A</v>
      </c>
      <c r="D48" s="330" t="str">
        <f>VLOOKUP($B48,'Пр.взв'!$D$6:$J$76,4,0)</f>
        <v>#N/A</v>
      </c>
      <c r="E48" s="330" t="str">
        <f>VLOOKUP($B48,'Пр.взв'!$D$6:$J$76,6,0)</f>
        <v>#N/A</v>
      </c>
      <c r="F48" s="331" t="str">
        <f>VLOOKUP($B48,'Пр.взв'!$D$6:$J$76,7,0)</f>
        <v>#N/A</v>
      </c>
      <c r="G48" s="331" t="str">
        <f>VLOOKUP($B48,'Пр.взв'!$D$6:$M$76,8,0)</f>
        <v>#N/A</v>
      </c>
      <c r="H48" s="331" t="str">
        <f>VLOOKUP($B48,'Пр.взв'!$D$6:$M$76,10,0)</f>
        <v>#N/A</v>
      </c>
    </row>
    <row r="49" hidden="1">
      <c r="A49" s="335">
        <v>44.0</v>
      </c>
      <c r="B49" s="328" t="str">
        <f t="array" ref="B49">INDEX('Пр.хода'!$B$6:'Пр.хода'!$B$148,MATCH("44",'Пр.хода'!$AE$6:'Пр.хода'!$AE$148,0),MATCH("№ п/ж",'Пр.хода'!$B$4:'Пр.хода'!$D$4,0))</f>
        <v>#N/A</v>
      </c>
      <c r="C49" s="329" t="str">
        <f>VLOOKUP($B49,'Пр.взв'!$D$6:$J$76,3,0)</f>
        <v>#N/A</v>
      </c>
      <c r="D49" s="330" t="str">
        <f>VLOOKUP($B49,'Пр.взв'!$D$6:$J$76,4,0)</f>
        <v>#N/A</v>
      </c>
      <c r="E49" s="330" t="str">
        <f>VLOOKUP($B49,'Пр.взв'!$D$6:$J$76,6,0)</f>
        <v>#N/A</v>
      </c>
      <c r="F49" s="331" t="str">
        <f>VLOOKUP($B49,'Пр.взв'!$D$6:$J$76,7,0)</f>
        <v>#N/A</v>
      </c>
      <c r="G49" s="331" t="str">
        <f>VLOOKUP($B49,'Пр.взв'!$D$6:$M$76,8,0)</f>
        <v>#N/A</v>
      </c>
      <c r="H49" s="331" t="str">
        <f>VLOOKUP($B49,'Пр.взв'!$D$6:$M$76,10,0)</f>
        <v>#N/A</v>
      </c>
    </row>
    <row r="50" hidden="1">
      <c r="A50" s="335">
        <v>45.0</v>
      </c>
      <c r="B50" s="328" t="str">
        <f t="array" ref="B50">INDEX('Пр.хода'!$B$6:'Пр.хода'!$B$148,MATCH("45",'Пр.хода'!$AE$6:'Пр.хода'!$AE$148,0),MATCH("№ п/ж",'Пр.хода'!$B$4:'Пр.хода'!$D$4,0))</f>
        <v>#N/A</v>
      </c>
      <c r="C50" s="329" t="str">
        <f>VLOOKUP($B50,'Пр.взв'!$D$6:$J$76,3,0)</f>
        <v>#N/A</v>
      </c>
      <c r="D50" s="330" t="str">
        <f>VLOOKUP($B50,'Пр.взв'!$D$6:$J$76,4,0)</f>
        <v>#N/A</v>
      </c>
      <c r="E50" s="330" t="str">
        <f>VLOOKUP($B50,'Пр.взв'!$D$6:$J$76,6,0)</f>
        <v>#N/A</v>
      </c>
      <c r="F50" s="331" t="str">
        <f>VLOOKUP($B50,'Пр.взв'!$D$6:$J$76,7,0)</f>
        <v>#N/A</v>
      </c>
      <c r="G50" s="331" t="str">
        <f>VLOOKUP($B50,'Пр.взв'!$D$6:$M$76,8,0)</f>
        <v>#N/A</v>
      </c>
      <c r="H50" s="331" t="str">
        <f>VLOOKUP($B50,'Пр.взв'!$D$6:$M$76,10,0)</f>
        <v>#N/A</v>
      </c>
    </row>
    <row r="51" hidden="1">
      <c r="A51" s="335">
        <v>46.0</v>
      </c>
      <c r="B51" s="328" t="str">
        <f t="array" ref="B51">INDEX('Пр.хода'!$B$6:'Пр.хода'!$B$148,MATCH("46",'Пр.хода'!$AE$6:'Пр.хода'!$AE$148,0),MATCH("№ п/ж",'Пр.хода'!$B$4:'Пр.хода'!$D$4,0))</f>
        <v>#N/A</v>
      </c>
      <c r="C51" s="329" t="str">
        <f>VLOOKUP($B51,'Пр.взв'!$D$6:$J$76,3,0)</f>
        <v>#N/A</v>
      </c>
      <c r="D51" s="330" t="str">
        <f>VLOOKUP($B51,'Пр.взв'!$D$6:$J$76,4,0)</f>
        <v>#N/A</v>
      </c>
      <c r="E51" s="330" t="str">
        <f>VLOOKUP($B51,'Пр.взв'!$D$6:$J$76,6,0)</f>
        <v>#N/A</v>
      </c>
      <c r="F51" s="331" t="str">
        <f>VLOOKUP($B51,'Пр.взв'!$D$6:$J$76,7,0)</f>
        <v>#N/A</v>
      </c>
      <c r="G51" s="331" t="str">
        <f>VLOOKUP($B51,'Пр.взв'!$D$6:$M$76,8,0)</f>
        <v>#N/A</v>
      </c>
      <c r="H51" s="331" t="str">
        <f>VLOOKUP($B51,'Пр.взв'!$D$6:$M$76,10,0)</f>
        <v>#N/A</v>
      </c>
    </row>
    <row r="52" hidden="1">
      <c r="A52" s="335">
        <v>47.0</v>
      </c>
      <c r="B52" s="328" t="str">
        <f t="array" ref="B52">INDEX('Пр.хода'!$B$6:'Пр.хода'!$B$148,MATCH("47",'Пр.хода'!$AE$6:'Пр.хода'!$AE$148,0),MATCH("№ п/ж",'Пр.хода'!$B$4:'Пр.хода'!$D$4,0))</f>
        <v>#N/A</v>
      </c>
      <c r="C52" s="329" t="str">
        <f>VLOOKUP($B52,'Пр.взв'!$D$6:$J$76,3,0)</f>
        <v>#N/A</v>
      </c>
      <c r="D52" s="330" t="str">
        <f>VLOOKUP($B52,'Пр.взв'!$D$6:$J$76,4,0)</f>
        <v>#N/A</v>
      </c>
      <c r="E52" s="330" t="str">
        <f>VLOOKUP($B52,'Пр.взв'!$D$6:$J$76,6,0)</f>
        <v>#N/A</v>
      </c>
      <c r="F52" s="331" t="str">
        <f>VLOOKUP($B52,'Пр.взв'!$D$6:$J$76,7,0)</f>
        <v>#N/A</v>
      </c>
      <c r="G52" s="331" t="str">
        <f>VLOOKUP($B52,'Пр.взв'!$D$6:$M$76,8,0)</f>
        <v>#N/A</v>
      </c>
      <c r="H52" s="331" t="str">
        <f>VLOOKUP($B52,'Пр.взв'!$D$6:$M$76,10,0)</f>
        <v>#N/A</v>
      </c>
    </row>
    <row r="53" hidden="1">
      <c r="A53" s="335">
        <v>48.0</v>
      </c>
      <c r="B53" s="328" t="str">
        <f t="array" ref="B53">INDEX('Пр.хода'!$B$6:'Пр.хода'!$B$148,MATCH("48",'Пр.хода'!$AE$6:'Пр.хода'!$AE$148,0),MATCH("№ п/ж",'Пр.хода'!$B$4:'Пр.хода'!$D$4,0))</f>
        <v>#N/A</v>
      </c>
      <c r="C53" s="329" t="str">
        <f>VLOOKUP($B53,'Пр.взв'!$D$6:$J$76,3,0)</f>
        <v>#N/A</v>
      </c>
      <c r="D53" s="330" t="str">
        <f>VLOOKUP($B53,'Пр.взв'!$D$6:$J$76,4,0)</f>
        <v>#N/A</v>
      </c>
      <c r="E53" s="330" t="str">
        <f>VLOOKUP($B53,'Пр.взв'!$D$6:$J$76,6,0)</f>
        <v>#N/A</v>
      </c>
      <c r="F53" s="331" t="str">
        <f>VLOOKUP($B53,'Пр.взв'!$D$6:$J$76,7,0)</f>
        <v>#N/A</v>
      </c>
      <c r="G53" s="331" t="str">
        <f>VLOOKUP($B53,'Пр.взв'!$D$6:$M$76,8,0)</f>
        <v>#N/A</v>
      </c>
      <c r="H53" s="331" t="str">
        <f>VLOOKUP($B53,'Пр.взв'!$D$6:$M$76,10,0)</f>
        <v>#N/A</v>
      </c>
    </row>
    <row r="54" hidden="1">
      <c r="A54" s="335">
        <v>49.0</v>
      </c>
      <c r="B54" s="328" t="str">
        <f t="array" ref="B54">INDEX('Пр.хода'!$B$6:'Пр.хода'!$B$148,MATCH("49",'Пр.хода'!$AE$6:'Пр.хода'!$AE$148,0),MATCH("№ п/ж",'Пр.хода'!$B$4:'Пр.хода'!$D$4,0))</f>
        <v>#N/A</v>
      </c>
      <c r="C54" s="329" t="str">
        <f>VLOOKUP($B54,'Пр.взв'!$D$6:$J$76,3,0)</f>
        <v>#N/A</v>
      </c>
      <c r="D54" s="330" t="str">
        <f>VLOOKUP($B54,'Пр.взв'!$D$6:$J$76,4,0)</f>
        <v>#N/A</v>
      </c>
      <c r="E54" s="330" t="str">
        <f>VLOOKUP($B54,'Пр.взв'!$D$6:$J$76,6,0)</f>
        <v>#N/A</v>
      </c>
      <c r="F54" s="331" t="str">
        <f>VLOOKUP($B54,'Пр.взв'!$D$6:$J$76,7,0)</f>
        <v>#N/A</v>
      </c>
      <c r="G54" s="331" t="str">
        <f>VLOOKUP($B54,'Пр.взв'!$D$6:$M$76,8,0)</f>
        <v>#N/A</v>
      </c>
      <c r="H54" s="331" t="str">
        <f>VLOOKUP($B54,'Пр.взв'!$D$6:$M$76,10,0)</f>
        <v>#N/A</v>
      </c>
    </row>
    <row r="55" hidden="1">
      <c r="A55" s="335">
        <v>50.0</v>
      </c>
      <c r="B55" s="328" t="str">
        <f t="array" ref="B55">INDEX('Пр.хода'!$B$6:'Пр.хода'!$B$148,MATCH("50",'Пр.хода'!$AE$6:'Пр.хода'!$AE$148,0),MATCH("№ п/ж",'Пр.хода'!$B$4:'Пр.хода'!$D$4,0))</f>
        <v>#N/A</v>
      </c>
      <c r="C55" s="329" t="str">
        <f>VLOOKUP($B55,'Пр.взв'!$D$6:$J$76,3,0)</f>
        <v>#N/A</v>
      </c>
      <c r="D55" s="330" t="str">
        <f>VLOOKUP($B55,'Пр.взв'!$D$6:$J$76,4,0)</f>
        <v>#N/A</v>
      </c>
      <c r="E55" s="330" t="str">
        <f>VLOOKUP($B55,'Пр.взв'!$D$6:$J$76,6,0)</f>
        <v>#N/A</v>
      </c>
      <c r="F55" s="331" t="str">
        <f>VLOOKUP($B55,'Пр.взв'!$D$6:$J$76,7,0)</f>
        <v>#N/A</v>
      </c>
      <c r="G55" s="331" t="str">
        <f>VLOOKUP($B55,'Пр.взв'!$D$6:$M$76,8,0)</f>
        <v>#N/A</v>
      </c>
      <c r="H55" s="331" t="str">
        <f>VLOOKUP($B55,'Пр.взв'!$D$6:$M$76,10,0)</f>
        <v>#N/A</v>
      </c>
    </row>
    <row r="56" hidden="1">
      <c r="A56" s="335">
        <v>51.0</v>
      </c>
      <c r="B56" s="328" t="str">
        <f t="array" ref="B56">INDEX('Пр.хода'!$B$6:'Пр.хода'!$B$148,MATCH("51",'Пр.хода'!$AE$6:'Пр.хода'!$AE$148,0),MATCH("№ п/ж",'Пр.хода'!$B$4:'Пр.хода'!$D$4,0))</f>
        <v>#N/A</v>
      </c>
      <c r="C56" s="329" t="str">
        <f>VLOOKUP($B56,'Пр.взв'!$D$6:$J$76,3,0)</f>
        <v>#N/A</v>
      </c>
      <c r="D56" s="330" t="str">
        <f>VLOOKUP($B56,'Пр.взв'!$D$6:$J$76,4,0)</f>
        <v>#N/A</v>
      </c>
      <c r="E56" s="330" t="str">
        <f>VLOOKUP($B56,'Пр.взв'!$D$6:$J$76,6,0)</f>
        <v>#N/A</v>
      </c>
      <c r="F56" s="331" t="str">
        <f>VLOOKUP($B56,'Пр.взв'!$D$6:$J$76,7,0)</f>
        <v>#N/A</v>
      </c>
      <c r="G56" s="331" t="str">
        <f>VLOOKUP($B56,'Пр.взв'!$D$6:$M$76,8,0)</f>
        <v>#N/A</v>
      </c>
      <c r="H56" s="331" t="str">
        <f>VLOOKUP($B56,'Пр.взв'!$D$6:$M$76,10,0)</f>
        <v>#N/A</v>
      </c>
    </row>
    <row r="57" hidden="1">
      <c r="A57" s="335">
        <v>52.0</v>
      </c>
      <c r="B57" s="328" t="str">
        <f t="array" ref="B57">INDEX('Пр.хода'!$B$6:'Пр.хода'!$B$148,MATCH("52",'Пр.хода'!$AE$6:'Пр.хода'!$AE$148,0),MATCH("№ п/ж",'Пр.хода'!$B$4:'Пр.хода'!$D$4,0))</f>
        <v>#N/A</v>
      </c>
      <c r="C57" s="329" t="str">
        <f>VLOOKUP($B57,'Пр.взв'!$D$6:$J$76,3,0)</f>
        <v>#N/A</v>
      </c>
      <c r="D57" s="330" t="str">
        <f>VLOOKUP($B57,'Пр.взв'!$D$6:$J$76,4,0)</f>
        <v>#N/A</v>
      </c>
      <c r="E57" s="330" t="str">
        <f>VLOOKUP($B57,'Пр.взв'!$D$6:$J$76,6,0)</f>
        <v>#N/A</v>
      </c>
      <c r="F57" s="331" t="str">
        <f>VLOOKUP($B57,'Пр.взв'!$D$6:$J$76,7,0)</f>
        <v>#N/A</v>
      </c>
      <c r="G57" s="331" t="str">
        <f>VLOOKUP($B57,'Пр.взв'!$D$6:$M$76,8,0)</f>
        <v>#N/A</v>
      </c>
      <c r="H57" s="331" t="str">
        <f>VLOOKUP($B57,'Пр.взв'!$D$6:$M$76,10,0)</f>
        <v>#N/A</v>
      </c>
    </row>
    <row r="58" hidden="1">
      <c r="A58" s="335">
        <v>53.0</v>
      </c>
      <c r="B58" s="328" t="str">
        <f t="array" ref="B58">INDEX('Пр.хода'!$B$6:'Пр.хода'!$B$148,MATCH("53",'Пр.хода'!$AE$6:'Пр.хода'!$AE$148,0),MATCH("№ п/ж",'Пр.хода'!$B$4:'Пр.хода'!$D$4,0))</f>
        <v>#N/A</v>
      </c>
      <c r="C58" s="329" t="str">
        <f>VLOOKUP($B58,'Пр.взв'!$D$6:$J$76,3,0)</f>
        <v>#N/A</v>
      </c>
      <c r="D58" s="330" t="str">
        <f>VLOOKUP($B58,'Пр.взв'!$D$6:$J$76,4,0)</f>
        <v>#N/A</v>
      </c>
      <c r="E58" s="330" t="str">
        <f>VLOOKUP($B58,'Пр.взв'!$D$6:$J$76,6,0)</f>
        <v>#N/A</v>
      </c>
      <c r="F58" s="331" t="str">
        <f>VLOOKUP($B58,'Пр.взв'!$D$6:$J$76,7,0)</f>
        <v>#N/A</v>
      </c>
      <c r="G58" s="331" t="str">
        <f>VLOOKUP($B58,'Пр.взв'!$D$6:$M$76,8,0)</f>
        <v>#N/A</v>
      </c>
      <c r="H58" s="331" t="str">
        <f>VLOOKUP($B58,'Пр.взв'!$D$6:$M$76,10,0)</f>
        <v>#N/A</v>
      </c>
    </row>
    <row r="59" hidden="1">
      <c r="A59" s="335">
        <v>54.0</v>
      </c>
      <c r="B59" s="328" t="str">
        <f t="array" ref="B59">INDEX('Пр.хода'!$B$6:'Пр.хода'!$B$148,MATCH("54",'Пр.хода'!$AE$6:'Пр.хода'!$AE$148,0),MATCH("№ п/ж",'Пр.хода'!$B$4:'Пр.хода'!$D$4,0))</f>
        <v>#N/A</v>
      </c>
      <c r="C59" s="329" t="str">
        <f>VLOOKUP($B59,'Пр.взв'!$D$6:$J$76,3,0)</f>
        <v>#N/A</v>
      </c>
      <c r="D59" s="330" t="str">
        <f>VLOOKUP($B59,'Пр.взв'!$D$6:$J$76,4,0)</f>
        <v>#N/A</v>
      </c>
      <c r="E59" s="330" t="str">
        <f>VLOOKUP($B59,'Пр.взв'!$D$6:$J$76,6,0)</f>
        <v>#N/A</v>
      </c>
      <c r="F59" s="331" t="str">
        <f>VLOOKUP($B59,'Пр.взв'!$D$6:$J$76,7,0)</f>
        <v>#N/A</v>
      </c>
      <c r="G59" s="331" t="str">
        <f>VLOOKUP($B59,'Пр.взв'!$D$6:$M$76,8,0)</f>
        <v>#N/A</v>
      </c>
      <c r="H59" s="331" t="str">
        <f>VLOOKUP($B59,'Пр.взв'!$D$6:$M$76,10,0)</f>
        <v>#N/A</v>
      </c>
    </row>
    <row r="60" hidden="1">
      <c r="A60" s="335">
        <v>55.0</v>
      </c>
      <c r="B60" s="328" t="str">
        <f t="array" ref="B60">INDEX('Пр.хода'!$B$6:'Пр.хода'!$B$148,MATCH("55",'Пр.хода'!$AE$6:'Пр.хода'!$AE$148,0),MATCH("№ п/ж",'Пр.хода'!$B$4:'Пр.хода'!$D$4,0))</f>
        <v>#N/A</v>
      </c>
      <c r="C60" s="329" t="str">
        <f>VLOOKUP($B60,'Пр.взв'!$D$6:$J$76,3,0)</f>
        <v>#N/A</v>
      </c>
      <c r="D60" s="330" t="str">
        <f>VLOOKUP($B60,'Пр.взв'!$D$6:$J$76,4,0)</f>
        <v>#N/A</v>
      </c>
      <c r="E60" s="330" t="str">
        <f>VLOOKUP($B60,'Пр.взв'!$D$6:$J$76,6,0)</f>
        <v>#N/A</v>
      </c>
      <c r="F60" s="331" t="str">
        <f>VLOOKUP($B60,'Пр.взв'!$D$6:$J$76,7,0)</f>
        <v>#N/A</v>
      </c>
      <c r="G60" s="331" t="str">
        <f>VLOOKUP($B60,'Пр.взв'!$D$6:$M$76,8,0)</f>
        <v>#N/A</v>
      </c>
      <c r="H60" s="331" t="str">
        <f>VLOOKUP($B60,'Пр.взв'!$D$6:$M$76,10,0)</f>
        <v>#N/A</v>
      </c>
    </row>
    <row r="61" hidden="1">
      <c r="A61" s="335">
        <v>56.0</v>
      </c>
      <c r="B61" s="328" t="str">
        <f t="array" ref="B61">INDEX('Пр.хода'!$B$6:'Пр.хода'!$B$148,MATCH("56",'Пр.хода'!$AE$6:'Пр.хода'!$AE$148,0),MATCH("№ п/ж",'Пр.хода'!$B$4:'Пр.хода'!$D$4,0))</f>
        <v>#N/A</v>
      </c>
      <c r="C61" s="329" t="str">
        <f>VLOOKUP($B61,'Пр.взв'!$D$6:$J$76,3,0)</f>
        <v>#N/A</v>
      </c>
      <c r="D61" s="330" t="str">
        <f>VLOOKUP($B61,'Пр.взв'!$D$6:$J$76,4,0)</f>
        <v>#N/A</v>
      </c>
      <c r="E61" s="330" t="str">
        <f>VLOOKUP($B61,'Пр.взв'!$D$6:$J$76,6,0)</f>
        <v>#N/A</v>
      </c>
      <c r="F61" s="331" t="str">
        <f>VLOOKUP($B61,'Пр.взв'!$D$6:$J$76,7,0)</f>
        <v>#N/A</v>
      </c>
      <c r="G61" s="331" t="str">
        <f>VLOOKUP($B61,'Пр.взв'!$D$6:$M$76,8,0)</f>
        <v>#N/A</v>
      </c>
      <c r="H61" s="331" t="str">
        <f>VLOOKUP($B61,'Пр.взв'!$D$6:$M$76,10,0)</f>
        <v>#N/A</v>
      </c>
    </row>
    <row r="62" hidden="1">
      <c r="A62" s="335">
        <v>57.0</v>
      </c>
      <c r="B62" s="328" t="str">
        <f t="array" ref="B62">INDEX('Пр.хода'!$B$6:'Пр.хода'!$B$148,MATCH("57",'Пр.хода'!$AE$6:'Пр.хода'!$AE$148,0),MATCH("№ п/ж",'Пр.хода'!$B$4:'Пр.хода'!$D$4,0))</f>
        <v>#N/A</v>
      </c>
      <c r="C62" s="329" t="str">
        <f>VLOOKUP($B62,'Пр.взв'!$D$6:$J$76,3,0)</f>
        <v>#N/A</v>
      </c>
      <c r="D62" s="330" t="str">
        <f>VLOOKUP($B62,'Пр.взв'!$D$6:$J$76,4,0)</f>
        <v>#N/A</v>
      </c>
      <c r="E62" s="330" t="str">
        <f>VLOOKUP($B62,'Пр.взв'!$D$6:$J$76,6,0)</f>
        <v>#N/A</v>
      </c>
      <c r="F62" s="331" t="str">
        <f>VLOOKUP($B62,'Пр.взв'!$D$6:$J$76,7,0)</f>
        <v>#N/A</v>
      </c>
      <c r="G62" s="331" t="str">
        <f>VLOOKUP($B62,'Пр.взв'!$D$6:$M$76,8,0)</f>
        <v>#N/A</v>
      </c>
      <c r="H62" s="331" t="str">
        <f>VLOOKUP($B62,'Пр.взв'!$D$6:$M$76,10,0)</f>
        <v>#N/A</v>
      </c>
    </row>
    <row r="63" hidden="1">
      <c r="A63" s="335">
        <v>58.0</v>
      </c>
      <c r="B63" s="328" t="str">
        <f t="array" ref="B63">INDEX('Пр.хода'!$B$6:'Пр.хода'!$B$148,MATCH("58",'Пр.хода'!$AE$6:'Пр.хода'!$AE$148,0),MATCH("№ п/ж",'Пр.хода'!$B$4:'Пр.хода'!$D$4,0))</f>
        <v>#N/A</v>
      </c>
      <c r="C63" s="329" t="str">
        <f>VLOOKUP($B63,'Пр.взв'!$D$6:$J$76,3,0)</f>
        <v>#N/A</v>
      </c>
      <c r="D63" s="330" t="str">
        <f>VLOOKUP($B63,'Пр.взв'!$D$6:$J$76,4,0)</f>
        <v>#N/A</v>
      </c>
      <c r="E63" s="330" t="str">
        <f>VLOOKUP($B63,'Пр.взв'!$D$6:$J$76,6,0)</f>
        <v>#N/A</v>
      </c>
      <c r="F63" s="331" t="str">
        <f>VLOOKUP($B63,'Пр.взв'!$D$6:$J$76,7,0)</f>
        <v>#N/A</v>
      </c>
      <c r="G63" s="331" t="str">
        <f>VLOOKUP($B63,'Пр.взв'!$D$6:$M$76,8,0)</f>
        <v>#N/A</v>
      </c>
      <c r="H63" s="331" t="str">
        <f>VLOOKUP($B63,'Пр.взв'!$D$6:$M$76,10,0)</f>
        <v>#N/A</v>
      </c>
    </row>
    <row r="64" hidden="1">
      <c r="A64" s="335">
        <v>59.0</v>
      </c>
      <c r="B64" s="328" t="str">
        <f t="array" ref="B64">INDEX('Пр.хода'!$B$6:'Пр.хода'!$B$148,MATCH("59",'Пр.хода'!$AE$6:'Пр.хода'!$AE$148,0),MATCH("№ п/ж",'Пр.хода'!$B$4:'Пр.хода'!$D$4,0))</f>
        <v>#N/A</v>
      </c>
      <c r="C64" s="329" t="str">
        <f>VLOOKUP($B64,'Пр.взв'!$D$6:$J$76,3,0)</f>
        <v>#N/A</v>
      </c>
      <c r="D64" s="330" t="str">
        <f>VLOOKUP($B64,'Пр.взв'!$D$6:$J$76,4,0)</f>
        <v>#N/A</v>
      </c>
      <c r="E64" s="330" t="str">
        <f>VLOOKUP($B64,'Пр.взв'!$D$6:$J$76,6,0)</f>
        <v>#N/A</v>
      </c>
      <c r="F64" s="331" t="str">
        <f>VLOOKUP($B64,'Пр.взв'!$D$6:$J$76,7,0)</f>
        <v>#N/A</v>
      </c>
      <c r="G64" s="331" t="str">
        <f>VLOOKUP($B64,'Пр.взв'!$D$6:$M$76,8,0)</f>
        <v>#N/A</v>
      </c>
      <c r="H64" s="331" t="str">
        <f>VLOOKUP($B64,'Пр.взв'!$D$6:$M$76,10,0)</f>
        <v>#N/A</v>
      </c>
    </row>
    <row r="65" hidden="1">
      <c r="A65" s="335">
        <v>60.0</v>
      </c>
      <c r="B65" s="328" t="str">
        <f t="array" ref="B65">INDEX('Пр.хода'!$B$6:'Пр.хода'!$B$148,MATCH("60",'Пр.хода'!$AE$6:'Пр.хода'!$AE$148,0),MATCH("№ п/ж",'Пр.хода'!$B$4:'Пр.хода'!$D$4,0))</f>
        <v>#N/A</v>
      </c>
      <c r="C65" s="329" t="str">
        <f>VLOOKUP($B65,'Пр.взв'!$D$6:$J$76,3,0)</f>
        <v>#N/A</v>
      </c>
      <c r="D65" s="330" t="str">
        <f>VLOOKUP($B65,'Пр.взв'!$D$6:$J$76,4,0)</f>
        <v>#N/A</v>
      </c>
      <c r="E65" s="330" t="str">
        <f>VLOOKUP($B65,'Пр.взв'!$D$6:$J$76,6,0)</f>
        <v>#N/A</v>
      </c>
      <c r="F65" s="331" t="str">
        <f>VLOOKUP($B65,'Пр.взв'!$D$6:$J$76,7,0)</f>
        <v>#N/A</v>
      </c>
      <c r="G65" s="331" t="str">
        <f>VLOOKUP($B65,'Пр.взв'!$D$6:$M$76,8,0)</f>
        <v>#N/A</v>
      </c>
      <c r="H65" s="331" t="str">
        <f>VLOOKUP($B65,'Пр.взв'!$D$6:$M$76,10,0)</f>
        <v>#N/A</v>
      </c>
    </row>
    <row r="66" hidden="1">
      <c r="A66" s="335">
        <v>61.0</v>
      </c>
      <c r="B66" s="328" t="str">
        <f t="array" ref="B66">INDEX('Пр.хода'!$B$6:'Пр.хода'!$B$148,MATCH("61",'Пр.хода'!$AE$6:'Пр.хода'!$AE$148,0),MATCH("№ п/ж",'Пр.хода'!$B$4:'Пр.хода'!$D$4,0))</f>
        <v>#N/A</v>
      </c>
      <c r="C66" s="329" t="str">
        <f>VLOOKUP($B66,'Пр.взв'!$D$6:$J$76,3,0)</f>
        <v>#N/A</v>
      </c>
      <c r="D66" s="330" t="str">
        <f>VLOOKUP($B66,'Пр.взв'!$D$6:$J$76,4,0)</f>
        <v>#N/A</v>
      </c>
      <c r="E66" s="330" t="str">
        <f>VLOOKUP($B66,'Пр.взв'!$D$6:$J$76,6,0)</f>
        <v>#N/A</v>
      </c>
      <c r="F66" s="331" t="str">
        <f>VLOOKUP($B66,'Пр.взв'!$D$6:$J$76,7,0)</f>
        <v>#N/A</v>
      </c>
      <c r="G66" s="331" t="str">
        <f>VLOOKUP($B66,'Пр.взв'!$D$6:$M$76,8,0)</f>
        <v>#N/A</v>
      </c>
      <c r="H66" s="331" t="str">
        <f>VLOOKUP($B66,'Пр.взв'!$D$6:$M$76,10,0)</f>
        <v>#N/A</v>
      </c>
    </row>
    <row r="67" hidden="1">
      <c r="A67" s="335">
        <v>62.0</v>
      </c>
      <c r="B67" s="328" t="str">
        <f t="array" ref="B67">INDEX('Пр.хода'!$B$6:'Пр.хода'!$B$148,MATCH("62",'Пр.хода'!$AE$6:'Пр.хода'!$AE$148,0),MATCH("№ п/ж",'Пр.хода'!$B$4:'Пр.хода'!$D$4,0))</f>
        <v>#N/A</v>
      </c>
      <c r="C67" s="329" t="str">
        <f>VLOOKUP($B67,'Пр.взв'!$D$6:$J$76,3,0)</f>
        <v>#N/A</v>
      </c>
      <c r="D67" s="330" t="str">
        <f>VLOOKUP($B67,'Пр.взв'!$D$6:$J$76,4,0)</f>
        <v>#N/A</v>
      </c>
      <c r="E67" s="330" t="str">
        <f>VLOOKUP($B67,'Пр.взв'!$D$6:$J$76,6,0)</f>
        <v>#N/A</v>
      </c>
      <c r="F67" s="331" t="str">
        <f>VLOOKUP($B67,'Пр.взв'!$D$6:$J$76,7,0)</f>
        <v>#N/A</v>
      </c>
      <c r="G67" s="331" t="str">
        <f>VLOOKUP($B67,'Пр.взв'!$D$6:$M$76,8,0)</f>
        <v>#N/A</v>
      </c>
      <c r="H67" s="331" t="str">
        <f>VLOOKUP($B67,'Пр.взв'!$D$6:$M$76,10,0)</f>
        <v>#N/A</v>
      </c>
    </row>
    <row r="68" hidden="1">
      <c r="A68" s="335">
        <v>63.0</v>
      </c>
      <c r="B68" s="328" t="str">
        <f t="array" ref="B68">INDEX('Пр.хода'!$B$6:'Пр.хода'!$B$148,MATCH("63",'Пр.хода'!$AE$6:'Пр.хода'!$AE$148,0),MATCH("№ п/ж",'Пр.хода'!$B$4:'Пр.хода'!$D$4,0))</f>
        <v>#N/A</v>
      </c>
      <c r="C68" s="329" t="str">
        <f>VLOOKUP($B68,'Пр.взв'!$D$6:$J$76,3,0)</f>
        <v>#N/A</v>
      </c>
      <c r="D68" s="330" t="str">
        <f>VLOOKUP($B68,'Пр.взв'!$D$6:$J$76,4,0)</f>
        <v>#N/A</v>
      </c>
      <c r="E68" s="330" t="str">
        <f>VLOOKUP($B68,'Пр.взв'!$D$6:$J$76,6,0)</f>
        <v>#N/A</v>
      </c>
      <c r="F68" s="331" t="str">
        <f>VLOOKUP($B68,'Пр.взв'!$D$6:$J$76,7,0)</f>
        <v>#N/A</v>
      </c>
      <c r="G68" s="331" t="str">
        <f>VLOOKUP($B68,'Пр.взв'!$D$6:$M$76,8,0)</f>
        <v>#N/A</v>
      </c>
      <c r="H68" s="331" t="str">
        <f>VLOOKUP($B68,'Пр.взв'!$D$6:$M$76,10,0)</f>
        <v>#N/A</v>
      </c>
    </row>
    <row r="69" hidden="1">
      <c r="A69" s="335">
        <v>64.0</v>
      </c>
      <c r="B69" s="328" t="str">
        <f t="array" ref="B69">INDEX('Пр.хода'!$B$6:'Пр.хода'!$B$148,MATCH("64",'Пр.хода'!$AE$6:'Пр.хода'!$AE$148,0),MATCH("№ п/ж",'Пр.хода'!$B$4:'Пр.хода'!$D$4,0))</f>
        <v>#N/A</v>
      </c>
      <c r="C69" s="329" t="str">
        <f>VLOOKUP($B69,'Пр.взв'!$D$6:$J$76,3,0)</f>
        <v>#N/A</v>
      </c>
      <c r="D69" s="330" t="str">
        <f>VLOOKUP($B69,'Пр.взв'!$D$6:$J$76,4,0)</f>
        <v>#N/A</v>
      </c>
      <c r="E69" s="330" t="str">
        <f>VLOOKUP($B69,'Пр.взв'!$D$6:$J$76,6,0)</f>
        <v>#N/A</v>
      </c>
      <c r="F69" s="331" t="str">
        <f>VLOOKUP($B69,'Пр.взв'!$D$6:$J$76,7,0)</f>
        <v>#N/A</v>
      </c>
      <c r="G69" s="331" t="str">
        <f>VLOOKUP($B69,'Пр.взв'!$D$6:$M$76,8,0)</f>
        <v>#N/A</v>
      </c>
      <c r="H69" s="331" t="str">
        <f>VLOOKUP($B69,'Пр.взв'!$D$6:$M$76,10,0)</f>
        <v>#N/A</v>
      </c>
    </row>
    <row r="70" hidden="1">
      <c r="A70" s="335">
        <v>65.0</v>
      </c>
      <c r="B70" s="328" t="str">
        <f t="array" ref="B70">INDEX('Пр.хода'!$B$6:'Пр.хода'!$B$148,MATCH("65",'Пр.хода'!$AE$6:'Пр.хода'!$AE$148,0),MATCH("№ п/ж",'Пр.хода'!$B$4:'Пр.хода'!$D$4,0))</f>
        <v>#N/A</v>
      </c>
      <c r="C70" s="329" t="str">
        <f>VLOOKUP($B70,'Пр.взв'!$D$6:$J$76,3,0)</f>
        <v>#N/A</v>
      </c>
      <c r="D70" s="330" t="str">
        <f>VLOOKUP($B70,'Пр.взв'!$D$6:$J$76,4,0)</f>
        <v>#N/A</v>
      </c>
      <c r="E70" s="330" t="str">
        <f>VLOOKUP($B70,'Пр.взв'!$D$6:$J$76,6,0)</f>
        <v>#N/A</v>
      </c>
      <c r="F70" s="331" t="str">
        <f>VLOOKUP($B70,'Пр.взв'!$D$6:$J$76,7,0)</f>
        <v>#N/A</v>
      </c>
      <c r="G70" s="331" t="str">
        <f>VLOOKUP($B70,'Пр.взв'!$D$6:$M$76,8,0)</f>
        <v>#N/A</v>
      </c>
      <c r="H70" s="331" t="str">
        <f>VLOOKUP($B70,'Пр.взв'!$D$6:$M$76,10,0)</f>
        <v>#N/A</v>
      </c>
    </row>
    <row r="71" hidden="1">
      <c r="A71" s="335">
        <v>66.0</v>
      </c>
      <c r="B71" s="328" t="str">
        <f t="array" ref="B71">INDEX('Пр.хода'!$B$6:'Пр.хода'!$B$148,MATCH("66",'Пр.хода'!$AE$6:'Пр.хода'!$AE$148,0),MATCH("№ п/ж",'Пр.хода'!$B$4:'Пр.хода'!$D$4,0))</f>
        <v>#N/A</v>
      </c>
      <c r="C71" s="329" t="str">
        <f>VLOOKUP($B71,'Пр.взв'!$D$6:$J$76,3,0)</f>
        <v>#N/A</v>
      </c>
      <c r="D71" s="330" t="str">
        <f>VLOOKUP($B71,'Пр.взв'!$D$6:$J$76,4,0)</f>
        <v>#N/A</v>
      </c>
      <c r="E71" s="330" t="str">
        <f>VLOOKUP($B71,'Пр.взв'!$D$6:$J$76,6,0)</f>
        <v>#N/A</v>
      </c>
      <c r="F71" s="331" t="str">
        <f>VLOOKUP($B71,'Пр.взв'!$D$6:$J$76,7,0)</f>
        <v>#N/A</v>
      </c>
      <c r="G71" s="331" t="str">
        <f>VLOOKUP($B71,'Пр.взв'!$D$6:$M$76,8,0)</f>
        <v>#N/A</v>
      </c>
      <c r="H71" s="331" t="str">
        <f>VLOOKUP($B71,'Пр.взв'!$D$6:$M$76,10,0)</f>
        <v>#N/A</v>
      </c>
    </row>
    <row r="72" hidden="1">
      <c r="A72" s="335">
        <v>67.0</v>
      </c>
      <c r="B72" s="328" t="str">
        <f t="array" ref="B72">INDEX('Пр.хода'!$B$6:'Пр.хода'!$B$148,MATCH("67",'Пр.хода'!$AE$6:'Пр.хода'!$AE$148,0),MATCH("№ п/ж",'Пр.хода'!$B$4:'Пр.хода'!$D$4,0))</f>
        <v>#N/A</v>
      </c>
      <c r="C72" s="329" t="str">
        <f>VLOOKUP($B72,'Пр.взв'!$D$6:$J$76,3,0)</f>
        <v>#N/A</v>
      </c>
      <c r="D72" s="330" t="str">
        <f>VLOOKUP($B72,'Пр.взв'!$D$6:$J$76,4,0)</f>
        <v>#N/A</v>
      </c>
      <c r="E72" s="330" t="str">
        <f>VLOOKUP($B72,'Пр.взв'!$D$6:$J$76,6,0)</f>
        <v>#N/A</v>
      </c>
      <c r="F72" s="331" t="str">
        <f>VLOOKUP($B72,'Пр.взв'!$D$6:$J$76,7,0)</f>
        <v>#N/A</v>
      </c>
      <c r="G72" s="331" t="str">
        <f>VLOOKUP($B72,'Пр.взв'!$D$6:$M$76,8,0)</f>
        <v>#N/A</v>
      </c>
      <c r="H72" s="331" t="str">
        <f>VLOOKUP($B72,'Пр.взв'!$D$6:$M$76,10,0)</f>
        <v>#N/A</v>
      </c>
    </row>
    <row r="73" hidden="1">
      <c r="A73" s="335">
        <v>68.0</v>
      </c>
      <c r="B73" s="328" t="str">
        <f t="array" ref="B73">INDEX('Пр.хода'!$B$6:'Пр.хода'!$B$148,MATCH("68",'Пр.хода'!$AE$6:'Пр.хода'!$AE$148,0),MATCH("№ п/ж",'Пр.хода'!$B$4:'Пр.хода'!$D$4,0))</f>
        <v>#N/A</v>
      </c>
      <c r="C73" s="329" t="str">
        <f>VLOOKUP($B73,'Пр.взв'!$D$6:$J$76,3,0)</f>
        <v>#N/A</v>
      </c>
      <c r="D73" s="330" t="str">
        <f>VLOOKUP($B73,'Пр.взв'!$D$6:$J$76,4,0)</f>
        <v>#N/A</v>
      </c>
      <c r="E73" s="330" t="str">
        <f>VLOOKUP($B73,'Пр.взв'!$D$6:$J$76,6,0)</f>
        <v>#N/A</v>
      </c>
      <c r="F73" s="331" t="str">
        <f>VLOOKUP($B73,'Пр.взв'!$D$6:$J$76,7,0)</f>
        <v>#N/A</v>
      </c>
      <c r="G73" s="331" t="str">
        <f>VLOOKUP($B73,'Пр.взв'!$D$6:$M$76,8,0)</f>
        <v>#N/A</v>
      </c>
      <c r="H73" s="331" t="str">
        <f>VLOOKUP($B73,'Пр.взв'!$D$6:$M$76,10,0)</f>
        <v>#N/A</v>
      </c>
    </row>
    <row r="74" hidden="1">
      <c r="A74" s="335">
        <v>69.0</v>
      </c>
      <c r="B74" s="328" t="str">
        <f t="array" ref="B74">INDEX('Пр.хода'!$B$6:'Пр.хода'!$B$148,MATCH("69",'Пр.хода'!$AE$6:'Пр.хода'!$AE$148,0),MATCH("№ п/ж",'Пр.хода'!$B$4:'Пр.хода'!$D$4,0))</f>
        <v>#N/A</v>
      </c>
      <c r="C74" s="329" t="str">
        <f>VLOOKUP($B74,'Пр.взв'!$D$6:$J$76,3,0)</f>
        <v>#N/A</v>
      </c>
      <c r="D74" s="330" t="str">
        <f>VLOOKUP($B74,'Пр.взв'!$D$6:$J$76,4,0)</f>
        <v>#N/A</v>
      </c>
      <c r="E74" s="330" t="str">
        <f>VLOOKUP($B74,'Пр.взв'!$D$6:$J$76,6,0)</f>
        <v>#N/A</v>
      </c>
      <c r="F74" s="331" t="str">
        <f>VLOOKUP($B74,'Пр.взв'!$D$6:$J$76,7,0)</f>
        <v>#N/A</v>
      </c>
      <c r="G74" s="331" t="str">
        <f>VLOOKUP($B74,'Пр.взв'!$D$6:$M$76,8,0)</f>
        <v>#N/A</v>
      </c>
      <c r="H74" s="331" t="str">
        <f>VLOOKUP($B74,'Пр.взв'!$D$6:$M$76,10,0)</f>
        <v>#N/A</v>
      </c>
    </row>
    <row r="75" hidden="1">
      <c r="A75" s="335">
        <v>70.0</v>
      </c>
      <c r="B75" s="328" t="str">
        <f t="array" ref="B75">INDEX('Пр.хода'!$B$6:'Пр.хода'!$B$148,MATCH("70",'Пр.хода'!$AE$6:'Пр.хода'!$AE$148,0),MATCH("№ п/ж",'Пр.хода'!$B$4:'Пр.хода'!$D$4,0))</f>
        <v>#N/A</v>
      </c>
      <c r="C75" s="329" t="str">
        <f>VLOOKUP($B75,'Пр.взв'!$D$6:$J$76,3,0)</f>
        <v>#N/A</v>
      </c>
      <c r="D75" s="330" t="str">
        <f>VLOOKUP($B75,'Пр.взв'!$D$6:$J$76,4,0)</f>
        <v>#N/A</v>
      </c>
      <c r="E75" s="330" t="str">
        <f>VLOOKUP($B75,'Пр.взв'!$D$6:$J$76,6,0)</f>
        <v>#N/A</v>
      </c>
      <c r="F75" s="331" t="str">
        <f>VLOOKUP($B75,'Пр.взв'!$D$6:$J$76,7,0)</f>
        <v>#N/A</v>
      </c>
      <c r="G75" s="331" t="str">
        <f>VLOOKUP($B75,'Пр.взв'!$D$6:$M$76,8,0)</f>
        <v>#N/A</v>
      </c>
      <c r="H75" s="331" t="str">
        <f>VLOOKUP($B75,'Пр.взв'!$D$6:$M$76,10,0)</f>
        <v>#N/A</v>
      </c>
    </row>
    <row r="76" hidden="1">
      <c r="A76" s="335">
        <v>71.0</v>
      </c>
      <c r="B76" s="328" t="str">
        <f t="array" ref="B76">INDEX('Пр.хода'!$B$6:'Пр.хода'!$B$148,MATCH("71",'Пр.хода'!$AE$6:'Пр.хода'!$AE$148,0),MATCH("№ п/ж",'Пр.хода'!$B$4:'Пр.хода'!$D$4,0))</f>
        <v>#N/A</v>
      </c>
      <c r="C76" s="329" t="str">
        <f>VLOOKUP($B76,'Пр.взв'!$D$6:$J$76,3,0)</f>
        <v>#N/A</v>
      </c>
      <c r="D76" s="330" t="str">
        <f>VLOOKUP($B76,'Пр.взв'!$D$6:$J$76,4,0)</f>
        <v>#N/A</v>
      </c>
      <c r="E76" s="330" t="str">
        <f>VLOOKUP($B76,'Пр.взв'!$D$6:$J$76,6,0)</f>
        <v>#N/A</v>
      </c>
      <c r="F76" s="331" t="str">
        <f>VLOOKUP($B76,'Пр.взв'!$D$6:$J$76,7,0)</f>
        <v>#N/A</v>
      </c>
      <c r="G76" s="331" t="str">
        <f>VLOOKUP($B76,'Пр.взв'!$D$6:$M$76,8,0)</f>
        <v>#N/A</v>
      </c>
      <c r="H76" s="331" t="str">
        <f>VLOOKUP($B76,'Пр.взв'!$D$6:$M$76,10,0)</f>
        <v>#N/A</v>
      </c>
    </row>
    <row r="77">
      <c r="A77" s="336"/>
      <c r="B77" s="337"/>
      <c r="C77" s="337"/>
      <c r="D77" s="337"/>
      <c r="E77" s="337"/>
      <c r="F77" s="338"/>
      <c r="G77" s="337"/>
      <c r="H77" s="337"/>
    </row>
    <row r="78">
      <c r="A78" s="336" t="str">
        <f>'Пр.хода'!B153</f>
        <v>Гл.судья, судья ВК</v>
      </c>
      <c r="B78" s="337"/>
      <c r="C78" s="337"/>
      <c r="D78" s="337"/>
      <c r="E78" s="337"/>
      <c r="F78" s="338" t="str">
        <f>'Пр.хода'!N153</f>
        <v>Редин Д.А.
</v>
      </c>
      <c r="G78" s="337"/>
      <c r="H78" s="337" t="str">
        <f>'Пр.хода'!Y153</f>
        <v>/ г.Хабаровск /</v>
      </c>
    </row>
    <row r="79" ht="9.0" customHeight="1">
      <c r="A79" s="339"/>
      <c r="B79" s="337"/>
      <c r="C79" s="337"/>
      <c r="D79" s="337"/>
      <c r="E79" s="337"/>
      <c r="F79" s="338"/>
      <c r="G79" s="337"/>
      <c r="H79" s="337"/>
    </row>
    <row r="80">
      <c r="A80" s="336" t="str">
        <f>'Пр.хода'!B154</f>
        <v>Гл.секретарь, судья ВК</v>
      </c>
      <c r="B80" s="337"/>
      <c r="C80" s="337"/>
      <c r="D80" s="337"/>
      <c r="E80" s="337"/>
      <c r="F80" s="338" t="str">
        <f>'Пр.хода'!N154</f>
        <v>Зарипов А.А.</v>
      </c>
      <c r="G80" s="337"/>
      <c r="H80" s="337" t="str">
        <f>'Пр.хода'!Y154</f>
        <v>/ Р.Татарстан /</v>
      </c>
    </row>
    <row r="81">
      <c r="B81" s="337"/>
      <c r="C81" s="337"/>
      <c r="D81" s="337"/>
      <c r="E81" s="337"/>
      <c r="F81" s="337"/>
      <c r="G81" s="337"/>
      <c r="H81" s="337"/>
    </row>
    <row r="82">
      <c r="B82" s="337"/>
      <c r="C82" s="337"/>
      <c r="D82" s="337"/>
      <c r="E82" s="337"/>
      <c r="F82" s="337"/>
      <c r="G82" s="337"/>
      <c r="H82" s="337"/>
    </row>
    <row r="83">
      <c r="B83" s="337"/>
      <c r="C83" s="337"/>
      <c r="D83" s="337"/>
      <c r="E83" s="337"/>
      <c r="F83" s="337"/>
      <c r="G83" s="337"/>
      <c r="H83" s="337"/>
    </row>
    <row r="84">
      <c r="B84" s="337"/>
      <c r="C84" s="337"/>
      <c r="D84" s="337"/>
      <c r="E84" s="337"/>
      <c r="F84" s="337"/>
      <c r="G84" s="337"/>
      <c r="H84" s="337"/>
    </row>
    <row r="85">
      <c r="B85" s="337"/>
      <c r="C85" s="337"/>
      <c r="D85" s="337"/>
      <c r="E85" s="337"/>
      <c r="F85" s="337"/>
      <c r="G85" s="337"/>
      <c r="H85" s="337"/>
    </row>
    <row r="86">
      <c r="B86" s="337"/>
      <c r="C86" s="337"/>
      <c r="D86" s="337"/>
      <c r="E86" s="337"/>
      <c r="F86" s="337"/>
      <c r="G86" s="337"/>
      <c r="H86" s="337"/>
    </row>
    <row r="87">
      <c r="B87" s="337"/>
      <c r="C87" s="337"/>
      <c r="D87" s="337"/>
      <c r="E87" s="337"/>
      <c r="F87" s="337"/>
      <c r="G87" s="337"/>
      <c r="H87" s="337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0" t="str">
        <f>IF(C2=3,A3,IF(C2=4,A4,IF(C2=5,A5,IF(C2=6,A6,IF(C2=7,A7,IF(C2=2,A2,IF(C2=1,A8,IF(C2=8,A9))))))))</f>
        <v>select BF</v>
      </c>
      <c r="B1" s="340"/>
      <c r="C1" s="287" t="s">
        <v>215</v>
      </c>
      <c r="E1" s="341">
        <v>1.0</v>
      </c>
      <c r="F1" s="342"/>
      <c r="G1" s="289" t="s">
        <v>216</v>
      </c>
      <c r="L1" s="340" t="str">
        <f>IF(N2=3,L3,IF(N2=4,L4,IF(N2=5,L5,IF(N2=6,L6,IF(N2=7,L7,IF(N2=2,L2,IF(N2=1,L8)))))))</f>
        <v>select BD</v>
      </c>
      <c r="M1" s="340"/>
      <c r="N1" s="287" t="s">
        <v>215</v>
      </c>
      <c r="P1" s="341">
        <v>2.0</v>
      </c>
      <c r="Q1" s="342"/>
      <c r="R1" s="289" t="s">
        <v>216</v>
      </c>
      <c r="W1" s="289"/>
      <c r="X1" s="287" t="s">
        <v>215</v>
      </c>
      <c r="Z1" s="341">
        <v>1.0</v>
      </c>
      <c r="AA1" s="342"/>
      <c r="AB1" s="289" t="s">
        <v>216</v>
      </c>
      <c r="AG1" s="289"/>
      <c r="AH1" s="287" t="s">
        <v>215</v>
      </c>
      <c r="AJ1" s="341">
        <v>1.0</v>
      </c>
      <c r="AK1" s="342"/>
      <c r="AL1" s="289" t="s">
        <v>216</v>
      </c>
    </row>
    <row r="2">
      <c r="A2" s="343" t="s">
        <v>217</v>
      </c>
      <c r="B2" s="344"/>
      <c r="C2" s="290">
        <v>2.0</v>
      </c>
      <c r="D2" s="130" t="s">
        <v>218</v>
      </c>
      <c r="E2" s="345" t="s">
        <v>209</v>
      </c>
      <c r="F2" s="280"/>
      <c r="G2" s="293"/>
      <c r="H2" s="346" t="str">
        <f>'Пр.хода'!Z3</f>
        <v>В.к.  44  кг</v>
      </c>
      <c r="I2" s="293"/>
      <c r="J2" s="347">
        <v>8.0</v>
      </c>
      <c r="K2" s="347">
        <f>'Пр.хода'!BC3</f>
        <v>12.5</v>
      </c>
      <c r="L2" s="344" t="s">
        <v>219</v>
      </c>
      <c r="M2" s="344"/>
      <c r="N2" s="290">
        <f>C2</f>
        <v>2</v>
      </c>
      <c r="O2" s="130" t="s">
        <v>218</v>
      </c>
      <c r="P2" s="345" t="s">
        <v>210</v>
      </c>
      <c r="Q2" s="280"/>
      <c r="R2" s="293"/>
      <c r="S2" s="346" t="str">
        <f>H2</f>
        <v>В.к.  44  кг</v>
      </c>
      <c r="T2" s="293"/>
      <c r="U2" s="293"/>
      <c r="V2" s="293"/>
      <c r="W2" s="293"/>
      <c r="X2" s="290">
        <f>N2</f>
        <v>2</v>
      </c>
      <c r="Y2" s="130" t="s">
        <v>218</v>
      </c>
      <c r="Z2" s="345" t="s">
        <v>210</v>
      </c>
      <c r="AA2" s="280"/>
      <c r="AB2" s="293"/>
      <c r="AC2" s="346" t="str">
        <f>H2</f>
        <v>В.к.  44  кг</v>
      </c>
      <c r="AD2" s="293"/>
      <c r="AE2" s="293"/>
      <c r="AF2" s="293"/>
      <c r="AG2" s="293"/>
      <c r="AH2" s="290">
        <v>4.0</v>
      </c>
      <c r="AI2" s="130" t="s">
        <v>218</v>
      </c>
      <c r="AJ2" s="345"/>
      <c r="AK2" s="280"/>
      <c r="AL2" s="293"/>
      <c r="AM2" s="346" t="str">
        <f>AC2</f>
        <v>В.к.  44  кг</v>
      </c>
      <c r="AN2" s="293"/>
      <c r="AO2" s="347"/>
      <c r="AP2" s="347"/>
    </row>
    <row r="3">
      <c r="A3" s="348" t="s">
        <v>220</v>
      </c>
      <c r="B3" s="348"/>
      <c r="C3" s="294" t="s">
        <v>9</v>
      </c>
      <c r="D3" s="295" t="s">
        <v>10</v>
      </c>
      <c r="E3" s="296" t="s">
        <v>221</v>
      </c>
      <c r="F3" s="296" t="s">
        <v>222</v>
      </c>
      <c r="G3" s="297"/>
      <c r="H3" s="295" t="s">
        <v>204</v>
      </c>
      <c r="I3" s="298" t="s">
        <v>205</v>
      </c>
      <c r="J3" s="295" t="s">
        <v>206</v>
      </c>
      <c r="K3" s="299" t="s">
        <v>207</v>
      </c>
      <c r="L3" s="348" t="s">
        <v>223</v>
      </c>
      <c r="M3" s="348"/>
      <c r="N3" s="294" t="s">
        <v>9</v>
      </c>
      <c r="O3" s="295" t="s">
        <v>10</v>
      </c>
      <c r="P3" s="296" t="s">
        <v>221</v>
      </c>
      <c r="Q3" s="296" t="s">
        <v>222</v>
      </c>
      <c r="R3" s="297"/>
      <c r="S3" s="295" t="s">
        <v>204</v>
      </c>
      <c r="T3" s="298" t="s">
        <v>205</v>
      </c>
      <c r="U3" s="295" t="s">
        <v>206</v>
      </c>
      <c r="V3" s="299" t="s">
        <v>207</v>
      </c>
      <c r="W3" s="349"/>
      <c r="X3" s="294" t="s">
        <v>9</v>
      </c>
      <c r="Y3" s="295" t="s">
        <v>10</v>
      </c>
      <c r="Z3" s="296" t="s">
        <v>221</v>
      </c>
      <c r="AA3" s="296" t="s">
        <v>222</v>
      </c>
      <c r="AB3" s="297"/>
      <c r="AC3" s="295" t="s">
        <v>204</v>
      </c>
      <c r="AD3" s="298" t="s">
        <v>205</v>
      </c>
      <c r="AE3" s="295" t="s">
        <v>206</v>
      </c>
      <c r="AF3" s="299" t="s">
        <v>207</v>
      </c>
      <c r="AG3" s="349"/>
      <c r="AH3" s="294" t="s">
        <v>9</v>
      </c>
      <c r="AI3" s="295" t="s">
        <v>10</v>
      </c>
      <c r="AJ3" s="296" t="s">
        <v>221</v>
      </c>
      <c r="AK3" s="296" t="s">
        <v>222</v>
      </c>
      <c r="AL3" s="297"/>
      <c r="AM3" s="295" t="s">
        <v>204</v>
      </c>
      <c r="AN3" s="298" t="s">
        <v>205</v>
      </c>
      <c r="AO3" s="295" t="s">
        <v>206</v>
      </c>
      <c r="AP3" s="299" t="s">
        <v>207</v>
      </c>
    </row>
    <row r="4" ht="12.75" customHeight="1">
      <c r="A4" s="348" t="s">
        <v>224</v>
      </c>
      <c r="B4" s="350"/>
      <c r="C4" s="257"/>
      <c r="D4" s="108"/>
      <c r="E4" s="107"/>
      <c r="F4" s="107"/>
      <c r="G4" s="106"/>
      <c r="H4" s="108"/>
      <c r="I4" s="107"/>
      <c r="J4" s="108"/>
      <c r="K4" s="300"/>
      <c r="L4" s="350" t="s">
        <v>220</v>
      </c>
      <c r="M4" s="350"/>
      <c r="N4" s="257"/>
      <c r="O4" s="108"/>
      <c r="P4" s="107"/>
      <c r="Q4" s="107"/>
      <c r="R4" s="106"/>
      <c r="S4" s="108"/>
      <c r="T4" s="107"/>
      <c r="U4" s="108"/>
      <c r="V4" s="300"/>
      <c r="W4" s="349"/>
      <c r="X4" s="257"/>
      <c r="Y4" s="108"/>
      <c r="Z4" s="107"/>
      <c r="AA4" s="107"/>
      <c r="AB4" s="106"/>
      <c r="AC4" s="108"/>
      <c r="AD4" s="107"/>
      <c r="AE4" s="108"/>
      <c r="AF4" s="300"/>
      <c r="AG4" s="349"/>
      <c r="AH4" s="257"/>
      <c r="AI4" s="108"/>
      <c r="AJ4" s="107"/>
      <c r="AK4" s="107"/>
      <c r="AL4" s="106"/>
      <c r="AM4" s="108"/>
      <c r="AN4" s="107"/>
      <c r="AO4" s="108"/>
      <c r="AP4" s="300"/>
    </row>
    <row r="5" ht="27.75" customHeight="1">
      <c r="A5" s="348" t="s">
        <v>225</v>
      </c>
      <c r="B5" s="351">
        <f t="shared" ref="B5:B75" si="1">IF(C5=0,(K$2+1),C5)</f>
        <v>1</v>
      </c>
      <c r="C5" s="352">
        <f>IFERROR(__xludf.DUMMYFUNCTION("QUERY('Пр.хода'!AY11:BH1000,A1)"),1.0)</f>
        <v>1</v>
      </c>
      <c r="D5" s="302" t="str">
        <f>IF(C5=0,"",(VLOOKUP($C5,'Пр.взв'!$D$6:$J$76,2,0)))</f>
        <v>ТЯПКИНА Анна</v>
      </c>
      <c r="E5" s="302" t="str">
        <f>IF(C5=0,"",(VLOOKUP($C5,'Пр.взв'!$D$6:$J$76,5,0)))</f>
        <v>2р</v>
      </c>
      <c r="F5" s="302" t="str">
        <f>IF(C5=0,"",(VLOOKUP($C5,'Пр.взв'!$D$6:$M$76,6,0)))</f>
        <v>ПФО</v>
      </c>
      <c r="G5" s="302" t="str">
        <f>IF(C5=0,"",(VLOOKUP($C5,'Пр.взв'!$D$6:$M$76,8,0)))</f>
        <v>Нижегородская</v>
      </c>
      <c r="H5" s="304" t="str">
        <f>IF(C5=0,"", IF(C6=0,"СВОБОДЕН",""))</f>
        <v/>
      </c>
      <c r="I5" s="304"/>
      <c r="J5" s="304"/>
      <c r="K5" s="305"/>
      <c r="L5" s="350" t="s">
        <v>224</v>
      </c>
      <c r="M5" s="353">
        <f>IFERROR(__xludf.DUMMYFUNCTION("FILTER(B5:H1000,B5:B1000&gt;K2)"),13.0)</f>
        <v>13</v>
      </c>
      <c r="N5" s="354">
        <f>IFERROR(__xludf.DUMMYFUNCTION("""COMPUTED_VALUE"""),13.0)</f>
        <v>13</v>
      </c>
      <c r="O5" s="302" t="str">
        <f>IFERROR(__xludf.DUMMYFUNCTION("""COMPUTED_VALUE"""),"БЕЛАШ софия")</f>
        <v>БЕЛАШ софия</v>
      </c>
      <c r="P5" s="302" t="str">
        <f>IFERROR(__xludf.DUMMYFUNCTION("""COMPUTED_VALUE"""),"КМС")</f>
        <v>КМС</v>
      </c>
      <c r="Q5" s="302" t="str">
        <f>IFERROR(__xludf.DUMMYFUNCTION("""COMPUTED_VALUE"""),"ПФО")</f>
        <v>ПФО</v>
      </c>
      <c r="R5" s="302" t="str">
        <f>IFERROR(__xludf.DUMMYFUNCTION("""COMPUTED_VALUE"""),"Р.Башкортостан")</f>
        <v>Р.Башкортостан</v>
      </c>
      <c r="S5" s="304" t="str">
        <f>IFERROR(__xludf.DUMMYFUNCTION("""COMPUTED_VALUE"""),"")</f>
        <v/>
      </c>
      <c r="T5" s="304"/>
      <c r="U5" s="304"/>
      <c r="V5" s="305"/>
      <c r="W5" s="355"/>
      <c r="X5" s="354">
        <f>IFERROR(__xludf.DUMMYFUNCTION("IF(N5=0,QUERY(N6:S1000),QUERY(N5:S1000))"),13.0)</f>
        <v>13</v>
      </c>
      <c r="Y5" s="302" t="str">
        <f>IFERROR(__xludf.DUMMYFUNCTION("""COMPUTED_VALUE"""),"БЕЛАШ софия")</f>
        <v>БЕЛАШ софия</v>
      </c>
      <c r="Z5" s="302" t="str">
        <f>IFERROR(__xludf.DUMMYFUNCTION("""COMPUTED_VALUE"""),"КМС")</f>
        <v>КМС</v>
      </c>
      <c r="AA5" s="302" t="str">
        <f>IFERROR(__xludf.DUMMYFUNCTION("""COMPUTED_VALUE"""),"ПФО")</f>
        <v>ПФО</v>
      </c>
      <c r="AB5" s="302" t="str">
        <f>IFERROR(__xludf.DUMMYFUNCTION("""COMPUTED_VALUE"""),"Р.Башкортостан")</f>
        <v>Р.Башкортостан</v>
      </c>
      <c r="AC5" s="304"/>
      <c r="AD5" s="304"/>
      <c r="AE5" s="304"/>
      <c r="AF5" s="305"/>
      <c r="AG5" s="355"/>
      <c r="AH5" s="352">
        <f>IFERROR(__xludf.DUMMYFUNCTION("QUERY('Пр.хода'!AY11:BG1000,A1)"),1.0)</f>
        <v>1</v>
      </c>
      <c r="AI5" s="302" t="str">
        <f>IF($AH5=0,"",(VLOOKUP($AH5,'Пр.взв'!$D$6:$J$71,2,0)))</f>
        <v>ТЯПКИНА Анна</v>
      </c>
      <c r="AJ5" s="302" t="str">
        <f>IF($AH5=0,"",(VLOOKUP($AH5,'Пр.взв'!$D$6:$J$71,5,0)))</f>
        <v>2р</v>
      </c>
      <c r="AK5" s="302" t="str">
        <f>IF($AH5=0,"",(VLOOKUP($AH5,'Пр.взв'!$D$6:$J$71,6,0)))</f>
        <v>ПФО</v>
      </c>
      <c r="AL5" s="302" t="str">
        <f>IF($AH5=0,"",(VLOOKUP($AH5,'Пр.взв'!$D$6:$M$71,8,0)))</f>
        <v>Нижегородская</v>
      </c>
      <c r="AM5" s="302"/>
      <c r="AN5" s="304"/>
      <c r="AO5" s="304"/>
      <c r="AP5" s="305"/>
    </row>
    <row r="6" ht="27.75" customHeight="1">
      <c r="A6" s="348" t="s">
        <v>226</v>
      </c>
      <c r="B6" s="351">
        <f t="shared" si="1"/>
        <v>3</v>
      </c>
      <c r="C6" s="356">
        <f>IFERROR(__xludf.DUMMYFUNCTION("""COMPUTED_VALUE"""),3.0)</f>
        <v>3</v>
      </c>
      <c r="D6" s="307" t="str">
        <f>IF(C6=0,"",(VLOOKUP($C6,'Пр.взв'!$D$6:$J$76,2,0)))</f>
        <v>БЕЛОУСОВА Алёна</v>
      </c>
      <c r="E6" s="307" t="str">
        <f>IF(C6=0,"",(VLOOKUP($C6,'Пр.взв'!$D$6:$J$76,5,0)))</f>
        <v>КМС</v>
      </c>
      <c r="F6" s="307" t="str">
        <f>IF(C6=0,"",(VLOOKUP($C6,'Пр.взв'!$D$6:$M$76,6,0)))</f>
        <v>ЮФО</v>
      </c>
      <c r="G6" s="307" t="str">
        <f>IF(C6=0,"",(VLOOKUP($C6,'Пр.взв'!$D$6:$M$76,8,0)))</f>
        <v>Р.Крым</v>
      </c>
      <c r="H6" s="309"/>
      <c r="I6" s="309"/>
      <c r="J6" s="309"/>
      <c r="K6" s="310"/>
      <c r="L6" s="350" t="s">
        <v>225</v>
      </c>
      <c r="M6" s="357">
        <f>IFERROR(__xludf.DUMMYFUNCTION("""COMPUTED_VALUE"""),15.0)</f>
        <v>15</v>
      </c>
      <c r="N6" s="358">
        <f>IFERROR(__xludf.DUMMYFUNCTION("""COMPUTED_VALUE"""),15.0)</f>
        <v>15</v>
      </c>
      <c r="O6" s="307" t="str">
        <f>IFERROR(__xludf.DUMMYFUNCTION("""COMPUTED_VALUE"""),"БОБРИКОВА Елизавета")</f>
        <v>БОБРИКОВА Елизавета</v>
      </c>
      <c r="P6" s="307" t="str">
        <f>IFERROR(__xludf.DUMMYFUNCTION("""COMPUTED_VALUE"""),"КМС")</f>
        <v>КМС</v>
      </c>
      <c r="Q6" s="307" t="str">
        <f>IFERROR(__xludf.DUMMYFUNCTION("""COMPUTED_VALUE"""),"ЦФО")</f>
        <v>ЦФО</v>
      </c>
      <c r="R6" s="307" t="str">
        <f>IFERROR(__xludf.DUMMYFUNCTION("""COMPUTED_VALUE"""),"Тверская")</f>
        <v>Тверская</v>
      </c>
      <c r="S6" s="309"/>
      <c r="T6" s="309"/>
      <c r="U6" s="309"/>
      <c r="V6" s="310"/>
      <c r="W6" s="355"/>
      <c r="X6" s="358">
        <f>IFERROR(__xludf.DUMMYFUNCTION("""COMPUTED_VALUE"""),15.0)</f>
        <v>15</v>
      </c>
      <c r="Y6" s="307" t="str">
        <f>IFERROR(__xludf.DUMMYFUNCTION("""COMPUTED_VALUE"""),"БОБРИКОВА Елизавета")</f>
        <v>БОБРИКОВА Елизавета</v>
      </c>
      <c r="Z6" s="307" t="str">
        <f>IFERROR(__xludf.DUMMYFUNCTION("""COMPUTED_VALUE"""),"КМС")</f>
        <v>КМС</v>
      </c>
      <c r="AA6" s="307" t="str">
        <f>IFERROR(__xludf.DUMMYFUNCTION("""COMPUTED_VALUE"""),"ЦФО")</f>
        <v>ЦФО</v>
      </c>
      <c r="AB6" s="307" t="str">
        <f>IFERROR(__xludf.DUMMYFUNCTION("""COMPUTED_VALUE"""),"Тверская")</f>
        <v>Тверская</v>
      </c>
      <c r="AC6" s="309"/>
      <c r="AD6" s="309"/>
      <c r="AE6" s="309"/>
      <c r="AF6" s="310"/>
      <c r="AG6" s="355"/>
      <c r="AH6" s="356">
        <f>IFERROR(__xludf.DUMMYFUNCTION("""COMPUTED_VALUE"""),3.0)</f>
        <v>3</v>
      </c>
      <c r="AI6" s="307" t="str">
        <f>IF($AH6=0,"",(VLOOKUP($AH6,'Пр.взв'!$D$6:$J$71,2,0)))</f>
        <v>БЕЛОУСОВА Алёна</v>
      </c>
      <c r="AJ6" s="307" t="str">
        <f>IF($AH6=0,"",(VLOOKUP($AH6,'Пр.взв'!$D$6:$J$71,5,0)))</f>
        <v>КМС</v>
      </c>
      <c r="AK6" s="307" t="str">
        <f>IF($AH6=0,"",(VLOOKUP($AH6,'Пр.взв'!$D$6:$J$71,6,0)))</f>
        <v>ЮФО</v>
      </c>
      <c r="AL6" s="307" t="str">
        <f>IF($AH6=0,"",(VLOOKUP($AH6,'Пр.взв'!$D$6:$M$71,8,0)))</f>
        <v>Р.Крым</v>
      </c>
      <c r="AM6" s="309"/>
      <c r="AN6" s="309"/>
      <c r="AO6" s="309"/>
      <c r="AP6" s="310"/>
    </row>
    <row r="7" ht="27.75" customHeight="1">
      <c r="A7" s="348" t="s">
        <v>227</v>
      </c>
      <c r="B7" s="351">
        <f t="shared" si="1"/>
        <v>2</v>
      </c>
      <c r="C7" s="352">
        <f>IFERROR(__xludf.DUMMYFUNCTION("""COMPUTED_VALUE"""),2.0)</f>
        <v>2</v>
      </c>
      <c r="D7" s="302" t="str">
        <f>IF(C7=0,"",(VLOOKUP($C7,'Пр.взв'!$D$6:$J$76,2,0)))</f>
        <v>МЕЛКОЗЕРОВА Алина</v>
      </c>
      <c r="E7" s="302" t="str">
        <f>IF(C7=0,"",(VLOOKUP($C7,'Пр.взв'!$D$6:$J$76,5,0)))</f>
        <v>1р</v>
      </c>
      <c r="F7" s="302" t="str">
        <f>IF(C7=0,"",(VLOOKUP($C7,'Пр.взв'!$D$6:$M$76,6,0)))</f>
        <v>УФО</v>
      </c>
      <c r="G7" s="302" t="str">
        <f>IF(C7=0,"",(VLOOKUP($C7,'Пр.взв'!$D$6:$M$76,8,0)))</f>
        <v>Свердловская</v>
      </c>
      <c r="H7" s="304" t="str">
        <f>IF(C7=0,"", IF(C8=0,"СВОБОДЕН",""))</f>
        <v/>
      </c>
      <c r="I7" s="304"/>
      <c r="J7" s="304"/>
      <c r="K7" s="305"/>
      <c r="L7" s="350" t="s">
        <v>226</v>
      </c>
      <c r="M7" s="357">
        <f>IFERROR(__xludf.DUMMYFUNCTION("""COMPUTED_VALUE"""),14.0)</f>
        <v>14</v>
      </c>
      <c r="N7" s="359">
        <f>IFERROR(__xludf.DUMMYFUNCTION("""COMPUTED_VALUE"""),14.0)</f>
        <v>14</v>
      </c>
      <c r="O7" s="302" t="str">
        <f>IFERROR(__xludf.DUMMYFUNCTION("""COMPUTED_VALUE"""),"ТАРАСОВА Аврора")</f>
        <v>ТАРАСОВА Аврора</v>
      </c>
      <c r="P7" s="302" t="str">
        <f>IFERROR(__xludf.DUMMYFUNCTION("""COMPUTED_VALUE"""),"1р")</f>
        <v>1р</v>
      </c>
      <c r="Q7" s="302" t="str">
        <f>IFERROR(__xludf.DUMMYFUNCTION("""COMPUTED_VALUE"""),"ЦФО")</f>
        <v>ЦФО</v>
      </c>
      <c r="R7" s="302" t="str">
        <f>IFERROR(__xludf.DUMMYFUNCTION("""COMPUTED_VALUE"""),"Московская")</f>
        <v>Московская</v>
      </c>
      <c r="S7" s="304" t="str">
        <f>IFERROR(__xludf.DUMMYFUNCTION("""COMPUTED_VALUE"""),"")</f>
        <v/>
      </c>
      <c r="T7" s="304"/>
      <c r="U7" s="304"/>
      <c r="V7" s="305"/>
      <c r="W7" s="355"/>
      <c r="X7" s="359">
        <f>IFERROR(__xludf.DUMMYFUNCTION("""COMPUTED_VALUE"""),14.0)</f>
        <v>14</v>
      </c>
      <c r="Y7" s="302" t="str">
        <f>IFERROR(__xludf.DUMMYFUNCTION("""COMPUTED_VALUE"""),"ТАРАСОВА Аврора")</f>
        <v>ТАРАСОВА Аврора</v>
      </c>
      <c r="Z7" s="302" t="str">
        <f>IFERROR(__xludf.DUMMYFUNCTION("""COMPUTED_VALUE"""),"1р")</f>
        <v>1р</v>
      </c>
      <c r="AA7" s="302" t="str">
        <f>IFERROR(__xludf.DUMMYFUNCTION("""COMPUTED_VALUE"""),"ЦФО")</f>
        <v>ЦФО</v>
      </c>
      <c r="AB7" s="302" t="str">
        <f>IFERROR(__xludf.DUMMYFUNCTION("""COMPUTED_VALUE"""),"Московская")</f>
        <v>Московская</v>
      </c>
      <c r="AC7" s="304"/>
      <c r="AD7" s="304"/>
      <c r="AE7" s="304"/>
      <c r="AF7" s="305"/>
      <c r="AG7" s="355"/>
      <c r="AH7" s="352">
        <f>IFERROR(__xludf.DUMMYFUNCTION("""COMPUTED_VALUE"""),2.0)</f>
        <v>2</v>
      </c>
      <c r="AI7" s="302" t="str">
        <f>IF($AH7=0,"",(VLOOKUP($AH7,'Пр.взв'!$D$6:$J$71,2,0)))</f>
        <v>МЕЛКОЗЕРОВА Алина</v>
      </c>
      <c r="AJ7" s="302" t="str">
        <f>IF($AH7=0,"",(VLOOKUP($AH7,'Пр.взв'!$D$6:$J$71,5,0)))</f>
        <v>1р</v>
      </c>
      <c r="AK7" s="302" t="str">
        <f>IF($AH7=0,"",(VLOOKUP($AH7,'Пр.взв'!$D$6:$J$71,6,0)))</f>
        <v>УФО</v>
      </c>
      <c r="AL7" s="302" t="str">
        <f>IF($AH7=0,"",(VLOOKUP($AH7,'Пр.взв'!$D$6:$M$71,8,0)))</f>
        <v>Свердловская</v>
      </c>
      <c r="AM7" s="304" t="str">
        <f>IF(AH7=0,"", IF(AH8=0,"СВОБОДЕН",""))</f>
        <v/>
      </c>
      <c r="AN7" s="304"/>
      <c r="AO7" s="304"/>
      <c r="AP7" s="305"/>
    </row>
    <row r="8" ht="27.75" customHeight="1">
      <c r="A8" s="348" t="s">
        <v>219</v>
      </c>
      <c r="B8" s="351">
        <f t="shared" si="1"/>
        <v>4</v>
      </c>
      <c r="C8" s="356">
        <f>IFERROR(__xludf.DUMMYFUNCTION("""COMPUTED_VALUE"""),4.0)</f>
        <v>4</v>
      </c>
      <c r="D8" s="307" t="str">
        <f>IF(C8=0,"",(VLOOKUP($C8,'Пр.взв'!$D$6:$J$76,2,0)))</f>
        <v>КИРЬЯНОВА  Ксения</v>
      </c>
      <c r="E8" s="307" t="str">
        <f>IF(C8=0,"",(VLOOKUP($C8,'Пр.взв'!$D$6:$J$76,5,0)))</f>
        <v>КМС</v>
      </c>
      <c r="F8" s="307" t="str">
        <f>IF(C8=0,"",(VLOOKUP($C8,'Пр.взв'!$D$6:$M$76,6,0)))</f>
        <v>МОС</v>
      </c>
      <c r="G8" s="307" t="str">
        <f>IF(C8=0,"",(VLOOKUP($C8,'Пр.взв'!$D$6:$M$76,8,0)))</f>
        <v>Москва</v>
      </c>
      <c r="H8" s="309"/>
      <c r="I8" s="309"/>
      <c r="J8" s="309"/>
      <c r="K8" s="310"/>
      <c r="L8" s="350" t="s">
        <v>228</v>
      </c>
      <c r="M8" s="357">
        <f>IFERROR(__xludf.DUMMYFUNCTION("""COMPUTED_VALUE"""),16.0)</f>
        <v>16</v>
      </c>
      <c r="N8" s="358">
        <f>IFERROR(__xludf.DUMMYFUNCTION("""COMPUTED_VALUE"""),16.0)</f>
        <v>16</v>
      </c>
      <c r="O8" s="307" t="str">
        <f>IFERROR(__xludf.DUMMYFUNCTION("""COMPUTED_VALUE"""),"КАПУСТЯН Виктория")</f>
        <v>КАПУСТЯН Виктория</v>
      </c>
      <c r="P8" s="307" t="str">
        <f>IFERROR(__xludf.DUMMYFUNCTION("""COMPUTED_VALUE"""),"2р")</f>
        <v>2р</v>
      </c>
      <c r="Q8" s="307" t="str">
        <f>IFERROR(__xludf.DUMMYFUNCTION("""COMPUTED_VALUE"""),"ДВФО")</f>
        <v>ДВФО</v>
      </c>
      <c r="R8" s="307" t="str">
        <f>IFERROR(__xludf.DUMMYFUNCTION("""COMPUTED_VALUE"""),"Хабаровский")</f>
        <v>Хабаровский</v>
      </c>
      <c r="S8" s="309"/>
      <c r="T8" s="309"/>
      <c r="U8" s="309"/>
      <c r="V8" s="310"/>
      <c r="W8" s="355"/>
      <c r="X8" s="358">
        <f>IFERROR(__xludf.DUMMYFUNCTION("""COMPUTED_VALUE"""),16.0)</f>
        <v>16</v>
      </c>
      <c r="Y8" s="307" t="str">
        <f>IFERROR(__xludf.DUMMYFUNCTION("""COMPUTED_VALUE"""),"КАПУСТЯН Виктория")</f>
        <v>КАПУСТЯН Виктория</v>
      </c>
      <c r="Z8" s="307" t="str">
        <f>IFERROR(__xludf.DUMMYFUNCTION("""COMPUTED_VALUE"""),"2р")</f>
        <v>2р</v>
      </c>
      <c r="AA8" s="307" t="str">
        <f>IFERROR(__xludf.DUMMYFUNCTION("""COMPUTED_VALUE"""),"ДВФО")</f>
        <v>ДВФО</v>
      </c>
      <c r="AB8" s="307" t="str">
        <f>IFERROR(__xludf.DUMMYFUNCTION("""COMPUTED_VALUE"""),"Хабаровский")</f>
        <v>Хабаровский</v>
      </c>
      <c r="AC8" s="309"/>
      <c r="AD8" s="309"/>
      <c r="AE8" s="309"/>
      <c r="AF8" s="310"/>
      <c r="AG8" s="355"/>
      <c r="AH8" s="356">
        <f>IFERROR(__xludf.DUMMYFUNCTION("""COMPUTED_VALUE"""),4.0)</f>
        <v>4</v>
      </c>
      <c r="AI8" s="307" t="str">
        <f>IF($AH8=0,"",(VLOOKUP($AH8,'Пр.взв'!$D$6:$J$71,2,0)))</f>
        <v>КИРЬЯНОВА  Ксения</v>
      </c>
      <c r="AJ8" s="307" t="str">
        <f>IF($AH8=0,"",(VLOOKUP($AH8,'Пр.взв'!$D$6:$J$71,5,0)))</f>
        <v>КМС</v>
      </c>
      <c r="AK8" s="307" t="str">
        <f>IF($AH8=0,"",(VLOOKUP($AH8,'Пр.взв'!$D$6:$J$71,6,0)))</f>
        <v>МОС</v>
      </c>
      <c r="AL8" s="307" t="str">
        <f>IF($AH8=0,"",(VLOOKUP($AH8,'Пр.взв'!$D$6:$M$71,8,0)))</f>
        <v>Москва</v>
      </c>
      <c r="AM8" s="309"/>
      <c r="AN8" s="309"/>
      <c r="AO8" s="309"/>
      <c r="AP8" s="310"/>
    </row>
    <row r="9" ht="27.75" customHeight="1">
      <c r="A9" s="348" t="s">
        <v>229</v>
      </c>
      <c r="B9" s="351">
        <f t="shared" si="1"/>
        <v>5</v>
      </c>
      <c r="C9" s="352">
        <f>IFERROR(__xludf.DUMMYFUNCTION("""COMPUTED_VALUE"""),5.0)</f>
        <v>5</v>
      </c>
      <c r="D9" s="302" t="str">
        <f>IF(C9=0,"",(VLOOKUP($C9,'Пр.взв'!$D$6:$J$76,2,0)))</f>
        <v>ВОЛОВЛИКОВА Дарья</v>
      </c>
      <c r="E9" s="302" t="str">
        <f>IF(C9=0,"",(VLOOKUP($C9,'Пр.взв'!$D$6:$J$76,5,0)))</f>
        <v>1р</v>
      </c>
      <c r="F9" s="302" t="str">
        <f>IF(C9=0,"",(VLOOKUP($C9,'Пр.взв'!$D$6:$M$76,6,0)))</f>
        <v>ЦФО</v>
      </c>
      <c r="G9" s="302" t="str">
        <f>IF(C9=0,"",(VLOOKUP($C9,'Пр.взв'!$D$6:$M$76,8,0)))</f>
        <v>Рязанская</v>
      </c>
      <c r="H9" s="304" t="str">
        <f>IF(C9=0,"", IF(C10=0,"СВОБОДЕН",""))</f>
        <v/>
      </c>
      <c r="I9" s="304"/>
      <c r="J9" s="304"/>
      <c r="K9" s="305"/>
      <c r="L9" s="74"/>
      <c r="M9" s="314">
        <f>IFERROR(__xludf.DUMMYFUNCTION("""COMPUTED_VALUE"""),17.0)</f>
        <v>17</v>
      </c>
      <c r="N9" s="352">
        <f>IFERROR(__xludf.DUMMYFUNCTION("""COMPUTED_VALUE"""),17.0)</f>
        <v>17</v>
      </c>
      <c r="O9" s="302" t="str">
        <f>IFERROR(__xludf.DUMMYFUNCTION("""COMPUTED_VALUE"""),"ТЕПУКОВА Камила")</f>
        <v>ТЕПУКОВА Камила</v>
      </c>
      <c r="P9" s="302" t="str">
        <f>IFERROR(__xludf.DUMMYFUNCTION("""COMPUTED_VALUE"""),"КМС")</f>
        <v>КМС</v>
      </c>
      <c r="Q9" s="302" t="str">
        <f>IFERROR(__xludf.DUMMYFUNCTION("""COMPUTED_VALUE"""),"СФО")</f>
        <v>СФО</v>
      </c>
      <c r="R9" s="302" t="str">
        <f>IFERROR(__xludf.DUMMYFUNCTION("""COMPUTED_VALUE"""),"Р.Алтай")</f>
        <v>Р.Алтай</v>
      </c>
      <c r="S9" s="304" t="str">
        <f>IFERROR(__xludf.DUMMYFUNCTION("""COMPUTED_VALUE"""),"")</f>
        <v/>
      </c>
      <c r="T9" s="304"/>
      <c r="U9" s="304"/>
      <c r="V9" s="305"/>
      <c r="W9" s="355"/>
      <c r="X9" s="352">
        <f>IFERROR(__xludf.DUMMYFUNCTION("""COMPUTED_VALUE"""),17.0)</f>
        <v>17</v>
      </c>
      <c r="Y9" s="302" t="str">
        <f>IFERROR(__xludf.DUMMYFUNCTION("""COMPUTED_VALUE"""),"ТЕПУКОВА Камила")</f>
        <v>ТЕПУКОВА Камила</v>
      </c>
      <c r="Z9" s="302" t="str">
        <f>IFERROR(__xludf.DUMMYFUNCTION("""COMPUTED_VALUE"""),"КМС")</f>
        <v>КМС</v>
      </c>
      <c r="AA9" s="302" t="str">
        <f>IFERROR(__xludf.DUMMYFUNCTION("""COMPUTED_VALUE"""),"СФО")</f>
        <v>СФО</v>
      </c>
      <c r="AB9" s="302" t="str">
        <f>IFERROR(__xludf.DUMMYFUNCTION("""COMPUTED_VALUE"""),"Р.Алтай")</f>
        <v>Р.Алтай</v>
      </c>
      <c r="AC9" s="304"/>
      <c r="AD9" s="304"/>
      <c r="AE9" s="304"/>
      <c r="AF9" s="305"/>
      <c r="AG9" s="355"/>
      <c r="AH9" s="352">
        <f>IFERROR(__xludf.DUMMYFUNCTION("""COMPUTED_VALUE"""),5.0)</f>
        <v>5</v>
      </c>
      <c r="AI9" s="302" t="str">
        <f>IF($AH9=0,"",(VLOOKUP($AH9,'Пр.взв'!$D$6:$J$71,2,0)))</f>
        <v>ВОЛОВЛИКОВА Дарья</v>
      </c>
      <c r="AJ9" s="302" t="str">
        <f>IF($AH9=0,"",(VLOOKUP($AH9,'Пр.взв'!$D$6:$J$71,5,0)))</f>
        <v>1р</v>
      </c>
      <c r="AK9" s="302" t="str">
        <f>IF($AH9=0,"",(VLOOKUP($AH9,'Пр.взв'!$D$6:$J$71,6,0)))</f>
        <v>ЦФО</v>
      </c>
      <c r="AL9" s="302" t="str">
        <f>IF($AH9=0,"",(VLOOKUP($AH9,'Пр.взв'!$D$6:$M$71,8,0)))</f>
        <v>Рязанская</v>
      </c>
      <c r="AM9" s="304" t="str">
        <f>IF(AH9=0,"", IF(AH10=0,"СВОБОДЕН",""))</f>
        <v/>
      </c>
      <c r="AN9" s="304"/>
      <c r="AO9" s="304"/>
      <c r="AP9" s="305"/>
    </row>
    <row r="10" ht="27.75" customHeight="1">
      <c r="A10" s="360" t="s">
        <v>229</v>
      </c>
      <c r="B10" s="351">
        <f t="shared" si="1"/>
        <v>7</v>
      </c>
      <c r="C10" s="356">
        <f>IFERROR(__xludf.DUMMYFUNCTION("""COMPUTED_VALUE"""),7.0)</f>
        <v>7</v>
      </c>
      <c r="D10" s="307" t="str">
        <f>IF(C10=0,"",(VLOOKUP($C10,'Пр.взв'!$D$6:$J$76,2,0)))</f>
        <v>КРУХ Юлия</v>
      </c>
      <c r="E10" s="307" t="str">
        <f>IF(C10=0,"",(VLOOKUP($C10,'Пр.взв'!$D$6:$J$76,5,0)))</f>
        <v>2р</v>
      </c>
      <c r="F10" s="307" t="str">
        <f>IF(C10=0,"",(VLOOKUP($C10,'Пр.взв'!$D$6:$M$76,6,0)))</f>
        <v>ДВФО</v>
      </c>
      <c r="G10" s="307" t="str">
        <f>IF(C10=0,"",(VLOOKUP($C10,'Пр.взв'!$D$6:$M$76,8,0)))</f>
        <v>Еврейская АО</v>
      </c>
      <c r="H10" s="309"/>
      <c r="I10" s="309"/>
      <c r="J10" s="309"/>
      <c r="K10" s="310"/>
      <c r="L10" s="74"/>
      <c r="M10" s="314">
        <f>IFERROR(__xludf.DUMMYFUNCTION("""COMPUTED_VALUE"""),19.0)</f>
        <v>19</v>
      </c>
      <c r="N10" s="356">
        <f>IFERROR(__xludf.DUMMYFUNCTION("""COMPUTED_VALUE"""),19.0)</f>
        <v>19</v>
      </c>
      <c r="O10" s="307" t="str">
        <f>IFERROR(__xludf.DUMMYFUNCTION("""COMPUTED_VALUE"""),"АЙТУГАНОВА Тамаша ")</f>
        <v>АЙТУГАНОВА Тамаша </v>
      </c>
      <c r="P10" s="307" t="str">
        <f>IFERROR(__xludf.DUMMYFUNCTION("""COMPUTED_VALUE"""),"КМС")</f>
        <v>КМС</v>
      </c>
      <c r="Q10" s="307" t="str">
        <f>IFERROR(__xludf.DUMMYFUNCTION("""COMPUTED_VALUE"""),"ПФО")</f>
        <v>ПФО</v>
      </c>
      <c r="R10" s="307" t="str">
        <f>IFERROR(__xludf.DUMMYFUNCTION("""COMPUTED_VALUE"""),"Оренбургская")</f>
        <v>Оренбургская</v>
      </c>
      <c r="S10" s="309"/>
      <c r="T10" s="309"/>
      <c r="U10" s="309"/>
      <c r="V10" s="310"/>
      <c r="W10" s="355"/>
      <c r="X10" s="356">
        <f>IFERROR(__xludf.DUMMYFUNCTION("""COMPUTED_VALUE"""),19.0)</f>
        <v>19</v>
      </c>
      <c r="Y10" s="307" t="str">
        <f>IFERROR(__xludf.DUMMYFUNCTION("""COMPUTED_VALUE"""),"АЙТУГАНОВА Тамаша ")</f>
        <v>АЙТУГАНОВА Тамаша </v>
      </c>
      <c r="Z10" s="307" t="str">
        <f>IFERROR(__xludf.DUMMYFUNCTION("""COMPUTED_VALUE"""),"КМС")</f>
        <v>КМС</v>
      </c>
      <c r="AA10" s="307" t="str">
        <f>IFERROR(__xludf.DUMMYFUNCTION("""COMPUTED_VALUE"""),"ПФО")</f>
        <v>ПФО</v>
      </c>
      <c r="AB10" s="307" t="str">
        <f>IFERROR(__xludf.DUMMYFUNCTION("""COMPUTED_VALUE"""),"Оренбургская")</f>
        <v>Оренбургская</v>
      </c>
      <c r="AC10" s="309"/>
      <c r="AD10" s="309"/>
      <c r="AE10" s="309"/>
      <c r="AF10" s="310"/>
      <c r="AG10" s="355"/>
      <c r="AH10" s="356">
        <f>IFERROR(__xludf.DUMMYFUNCTION("""COMPUTED_VALUE"""),7.0)</f>
        <v>7</v>
      </c>
      <c r="AI10" s="307" t="str">
        <f>IF($AH10=0,"",(VLOOKUP($AH10,'Пр.взв'!$D$6:$J$71,2,0)))</f>
        <v>КРУХ Юлия</v>
      </c>
      <c r="AJ10" s="307" t="str">
        <f>IF($AH10=0,"",(VLOOKUP($AH10,'Пр.взв'!$D$6:$J$71,5,0)))</f>
        <v>2р</v>
      </c>
      <c r="AK10" s="307" t="str">
        <f>IF($AH10=0,"",(VLOOKUP($AH10,'Пр.взв'!$D$6:$J$71,6,0)))</f>
        <v>ДВФО</v>
      </c>
      <c r="AL10" s="307" t="str">
        <f>IF($AH10=0,"",(VLOOKUP($AH10,'Пр.взв'!$D$6:$M$71,8,0)))</f>
        <v>Еврейская АО</v>
      </c>
      <c r="AM10" s="309"/>
      <c r="AN10" s="309"/>
      <c r="AO10" s="309"/>
      <c r="AP10" s="310"/>
    </row>
    <row r="11" ht="27.75" customHeight="1">
      <c r="A11" s="361">
        <v>7.0</v>
      </c>
      <c r="B11" s="351">
        <f t="shared" si="1"/>
        <v>6</v>
      </c>
      <c r="C11" s="352">
        <f>IFERROR(__xludf.DUMMYFUNCTION("""COMPUTED_VALUE"""),6.0)</f>
        <v>6</v>
      </c>
      <c r="D11" s="302" t="str">
        <f>IF(C11=0,"",(VLOOKUP($C11,'Пр.взв'!$D$6:$J$76,2,0)))</f>
        <v>ТУРКИНА Варвара</v>
      </c>
      <c r="E11" s="302" t="str">
        <f>IF(C11=0,"",(VLOOKUP($C11,'Пр.взв'!$D$6:$J$76,5,0)))</f>
        <v>1р</v>
      </c>
      <c r="F11" s="302" t="str">
        <f>IF(C11=0,"",(VLOOKUP($C11,'Пр.взв'!$D$6:$M$76,6,0)))</f>
        <v>ПФО</v>
      </c>
      <c r="G11" s="302" t="str">
        <f>IF(C11=0,"",(VLOOKUP($C11,'Пр.взв'!$D$6:$M$76,8,0)))</f>
        <v>Оренбургская</v>
      </c>
      <c r="H11" s="304" t="str">
        <f>IF(C11=0,"", IF(C12=0,"СВОБОДЕН",""))</f>
        <v/>
      </c>
      <c r="I11" s="304"/>
      <c r="J11" s="304"/>
      <c r="K11" s="305"/>
      <c r="L11" s="361"/>
      <c r="M11" s="362">
        <f>IFERROR(__xludf.DUMMYFUNCTION("""COMPUTED_VALUE"""),18.0)</f>
        <v>18</v>
      </c>
      <c r="N11" s="352">
        <f>IFERROR(__xludf.DUMMYFUNCTION("""COMPUTED_VALUE"""),18.0)</f>
        <v>18</v>
      </c>
      <c r="O11" s="302" t="str">
        <f>IFERROR(__xludf.DUMMYFUNCTION("""COMPUTED_VALUE"""),"ЕРОШКИНА  Лилия")</f>
        <v>ЕРОШКИНА  Лилия</v>
      </c>
      <c r="P11" s="302" t="str">
        <f>IFERROR(__xludf.DUMMYFUNCTION("""COMPUTED_VALUE"""),"2р")</f>
        <v>2р</v>
      </c>
      <c r="Q11" s="302" t="str">
        <f>IFERROR(__xludf.DUMMYFUNCTION("""COMPUTED_VALUE"""),"УФО")</f>
        <v>УФО</v>
      </c>
      <c r="R11" s="302" t="str">
        <f>IFERROR(__xludf.DUMMYFUNCTION("""COMPUTED_VALUE"""),"ХМАО-Югра")</f>
        <v>ХМАО-Югра</v>
      </c>
      <c r="S11" s="304" t="str">
        <f>IFERROR(__xludf.DUMMYFUNCTION("""COMPUTED_VALUE"""),"")</f>
        <v/>
      </c>
      <c r="T11" s="304"/>
      <c r="U11" s="304"/>
      <c r="V11" s="305"/>
      <c r="W11" s="355"/>
      <c r="X11" s="352">
        <f>IFERROR(__xludf.DUMMYFUNCTION("""COMPUTED_VALUE"""),18.0)</f>
        <v>18</v>
      </c>
      <c r="Y11" s="302" t="str">
        <f>IFERROR(__xludf.DUMMYFUNCTION("""COMPUTED_VALUE"""),"ЕРОШКИНА  Лилия")</f>
        <v>ЕРОШКИНА  Лилия</v>
      </c>
      <c r="Z11" s="302" t="str">
        <f>IFERROR(__xludf.DUMMYFUNCTION("""COMPUTED_VALUE"""),"2р")</f>
        <v>2р</v>
      </c>
      <c r="AA11" s="302" t="str">
        <f>IFERROR(__xludf.DUMMYFUNCTION("""COMPUTED_VALUE"""),"УФО")</f>
        <v>УФО</v>
      </c>
      <c r="AB11" s="302" t="str">
        <f>IFERROR(__xludf.DUMMYFUNCTION("""COMPUTED_VALUE"""),"ХМАО-Югра")</f>
        <v>ХМАО-Югра</v>
      </c>
      <c r="AC11" s="304"/>
      <c r="AD11" s="304"/>
      <c r="AE11" s="304"/>
      <c r="AF11" s="305"/>
      <c r="AG11" s="355"/>
      <c r="AH11" s="352">
        <f>IFERROR(__xludf.DUMMYFUNCTION("""COMPUTED_VALUE"""),6.0)</f>
        <v>6</v>
      </c>
      <c r="AI11" s="302" t="str">
        <f>IF($AH11=0,"",(VLOOKUP($AH11,'Пр.взв'!$D$6:$J$71,2,0)))</f>
        <v>ТУРКИНА Варвара</v>
      </c>
      <c r="AJ11" s="302" t="str">
        <f>IF($AH11=0,"",(VLOOKUP($AH11,'Пр.взв'!$D$6:$J$71,5,0)))</f>
        <v>1р</v>
      </c>
      <c r="AK11" s="302" t="str">
        <f>IF($AH11=0,"",(VLOOKUP($AH11,'Пр.взв'!$D$6:$J$71,6,0)))</f>
        <v>ПФО</v>
      </c>
      <c r="AL11" s="302" t="str">
        <f>IF($AH11=0,"",(VLOOKUP($AH11,'Пр.взв'!$D$6:$M$71,8,0)))</f>
        <v>Оренбургская</v>
      </c>
      <c r="AM11" s="304" t="str">
        <f>IF(AH11=0,"", IF(AH12=0,"СВОБОДЕН",""))</f>
        <v/>
      </c>
      <c r="AN11" s="304"/>
      <c r="AO11" s="304"/>
      <c r="AP11" s="305"/>
    </row>
    <row r="12" ht="27.75" customHeight="1">
      <c r="A12" s="361">
        <v>8.0</v>
      </c>
      <c r="B12" s="351">
        <f t="shared" si="1"/>
        <v>8</v>
      </c>
      <c r="C12" s="356">
        <f>IFERROR(__xludf.DUMMYFUNCTION("""COMPUTED_VALUE"""),8.0)</f>
        <v>8</v>
      </c>
      <c r="D12" s="307" t="str">
        <f>IF(C12=0,"",(VLOOKUP($C12,'Пр.взв'!$D$6:$J$76,2,0)))</f>
        <v>МИСИКОВА Элина</v>
      </c>
      <c r="E12" s="307" t="str">
        <f>IF(C12=0,"",(VLOOKUP($C12,'Пр.взв'!$D$6:$J$76,5,0)))</f>
        <v>1р</v>
      </c>
      <c r="F12" s="307" t="str">
        <f>IF(C12=0,"",(VLOOKUP($C12,'Пр.взв'!$D$6:$M$76,6,0)))</f>
        <v>СКФО</v>
      </c>
      <c r="G12" s="307" t="str">
        <f>IF(C12=0,"",(VLOOKUP($C12,'Пр.взв'!$D$6:$M$76,8,0)))</f>
        <v>Ставропольский</v>
      </c>
      <c r="H12" s="309"/>
      <c r="I12" s="309"/>
      <c r="J12" s="309"/>
      <c r="K12" s="310"/>
      <c r="L12" s="361"/>
      <c r="M12" s="362">
        <f>IFERROR(__xludf.DUMMYFUNCTION("""COMPUTED_VALUE"""),20.0)</f>
        <v>20</v>
      </c>
      <c r="N12" s="356">
        <f>IFERROR(__xludf.DUMMYFUNCTION("""COMPUTED_VALUE"""),20.0)</f>
        <v>20</v>
      </c>
      <c r="O12" s="307" t="str">
        <f>IFERROR(__xludf.DUMMYFUNCTION("""COMPUTED_VALUE"""),"КРАСИКОВА  Ника")</f>
        <v>КРАСИКОВА  Ника</v>
      </c>
      <c r="P12" s="307" t="str">
        <f>IFERROR(__xludf.DUMMYFUNCTION("""COMPUTED_VALUE"""),"2р")</f>
        <v>2р</v>
      </c>
      <c r="Q12" s="307" t="str">
        <f>IFERROR(__xludf.DUMMYFUNCTION("""COMPUTED_VALUE"""),"СЗФО")</f>
        <v>СЗФО</v>
      </c>
      <c r="R12" s="307" t="str">
        <f>IFERROR(__xludf.DUMMYFUNCTION("""COMPUTED_VALUE"""),"Архангельская")</f>
        <v>Архангельская</v>
      </c>
      <c r="S12" s="309"/>
      <c r="T12" s="309"/>
      <c r="U12" s="309"/>
      <c r="V12" s="310"/>
      <c r="W12" s="355"/>
      <c r="X12" s="356">
        <f>IFERROR(__xludf.DUMMYFUNCTION("""COMPUTED_VALUE"""),20.0)</f>
        <v>20</v>
      </c>
      <c r="Y12" s="307" t="str">
        <f>IFERROR(__xludf.DUMMYFUNCTION("""COMPUTED_VALUE"""),"КРАСИКОВА  Ника")</f>
        <v>КРАСИКОВА  Ника</v>
      </c>
      <c r="Z12" s="307" t="str">
        <f>IFERROR(__xludf.DUMMYFUNCTION("""COMPUTED_VALUE"""),"2р")</f>
        <v>2р</v>
      </c>
      <c r="AA12" s="307" t="str">
        <f>IFERROR(__xludf.DUMMYFUNCTION("""COMPUTED_VALUE"""),"СЗФО")</f>
        <v>СЗФО</v>
      </c>
      <c r="AB12" s="307" t="str">
        <f>IFERROR(__xludf.DUMMYFUNCTION("""COMPUTED_VALUE"""),"Архангельская")</f>
        <v>Архангельская</v>
      </c>
      <c r="AC12" s="309"/>
      <c r="AD12" s="309"/>
      <c r="AE12" s="309"/>
      <c r="AF12" s="310"/>
      <c r="AG12" s="355"/>
      <c r="AH12" s="356">
        <f>IFERROR(__xludf.DUMMYFUNCTION("""COMPUTED_VALUE"""),8.0)</f>
        <v>8</v>
      </c>
      <c r="AI12" s="307" t="str">
        <f>IF($AH12=0,"",(VLOOKUP($AH12,'Пр.взв'!$D$6:$J$71,2,0)))</f>
        <v>МИСИКОВА Элина</v>
      </c>
      <c r="AJ12" s="307" t="str">
        <f>IF($AH12=0,"",(VLOOKUP($AH12,'Пр.взв'!$D$6:$J$71,5,0)))</f>
        <v>1р</v>
      </c>
      <c r="AK12" s="307" t="str">
        <f>IF($AH12=0,"",(VLOOKUP($AH12,'Пр.взв'!$D$6:$J$71,6,0)))</f>
        <v>СКФО</v>
      </c>
      <c r="AL12" s="307" t="str">
        <f>IF($AH12=0,"",(VLOOKUP($AH12,'Пр.взв'!$D$6:$M$71,8,0)))</f>
        <v>Ставропольский</v>
      </c>
      <c r="AM12" s="309"/>
      <c r="AN12" s="309"/>
      <c r="AO12" s="309"/>
      <c r="AP12" s="310"/>
    </row>
    <row r="13" ht="27.75" customHeight="1">
      <c r="A13" s="361">
        <v>9.0</v>
      </c>
      <c r="B13" s="351">
        <f t="shared" si="1"/>
        <v>9</v>
      </c>
      <c r="C13" s="352">
        <f>IFERROR(__xludf.DUMMYFUNCTION("""COMPUTED_VALUE"""),9.0)</f>
        <v>9</v>
      </c>
      <c r="D13" s="302" t="str">
        <f>IF(C13=0,"",(VLOOKUP($C13,'Пр.взв'!$D$6:$J$76,2,0)))</f>
        <v>ПОВАЛИХИНА  Ксения</v>
      </c>
      <c r="E13" s="302" t="str">
        <f>IF(C13=0,"",(VLOOKUP($C13,'Пр.взв'!$D$6:$J$76,5,0)))</f>
        <v>КМС</v>
      </c>
      <c r="F13" s="302" t="str">
        <f>IF(C13=0,"",(VLOOKUP($C13,'Пр.взв'!$D$6:$M$76,6,0)))</f>
        <v>ЦФО</v>
      </c>
      <c r="G13" s="302" t="str">
        <f>IF(C13=0,"",(VLOOKUP($C13,'Пр.взв'!$D$6:$M$76,8,0)))</f>
        <v>Московская</v>
      </c>
      <c r="H13" s="304" t="str">
        <f>IF(C13=0,"", IF(C14=0,"СВОБОДЕН",""))</f>
        <v/>
      </c>
      <c r="I13" s="304"/>
      <c r="J13" s="304"/>
      <c r="K13" s="305"/>
      <c r="L13" s="361"/>
      <c r="M13" s="362">
        <f>IFERROR(__xludf.DUMMYFUNCTION("""COMPUTED_VALUE"""),21.0)</f>
        <v>21</v>
      </c>
      <c r="N13" s="352">
        <f>IFERROR(__xludf.DUMMYFUNCTION("""COMPUTED_VALUE"""),21.0)</f>
        <v>21</v>
      </c>
      <c r="O13" s="302" t="str">
        <f>IFERROR(__xludf.DUMMYFUNCTION("""COMPUTED_VALUE"""),"КАЗАНКОВА Фаина")</f>
        <v>КАЗАНКОВА Фаина</v>
      </c>
      <c r="P13" s="302" t="str">
        <f>IFERROR(__xludf.DUMMYFUNCTION("""COMPUTED_VALUE"""),"1р")</f>
        <v>1р</v>
      </c>
      <c r="Q13" s="302" t="str">
        <f>IFERROR(__xludf.DUMMYFUNCTION("""COMPUTED_VALUE"""),"ДВФО")</f>
        <v>ДВФО</v>
      </c>
      <c r="R13" s="302" t="str">
        <f>IFERROR(__xludf.DUMMYFUNCTION("""COMPUTED_VALUE"""),"Хабаровский")</f>
        <v>Хабаровский</v>
      </c>
      <c r="S13" s="304" t="str">
        <f>IFERROR(__xludf.DUMMYFUNCTION("""COMPUTED_VALUE"""),"")</f>
        <v/>
      </c>
      <c r="T13" s="304"/>
      <c r="U13" s="304"/>
      <c r="V13" s="305"/>
      <c r="W13" s="355"/>
      <c r="X13" s="352">
        <f>IFERROR(__xludf.DUMMYFUNCTION("""COMPUTED_VALUE"""),21.0)</f>
        <v>21</v>
      </c>
      <c r="Y13" s="302" t="str">
        <f>IFERROR(__xludf.DUMMYFUNCTION("""COMPUTED_VALUE"""),"КАЗАНКОВА Фаина")</f>
        <v>КАЗАНКОВА Фаина</v>
      </c>
      <c r="Z13" s="302" t="str">
        <f>IFERROR(__xludf.DUMMYFUNCTION("""COMPUTED_VALUE"""),"1р")</f>
        <v>1р</v>
      </c>
      <c r="AA13" s="302" t="str">
        <f>IFERROR(__xludf.DUMMYFUNCTION("""COMPUTED_VALUE"""),"ДВФО")</f>
        <v>ДВФО</v>
      </c>
      <c r="AB13" s="302" t="str">
        <f>IFERROR(__xludf.DUMMYFUNCTION("""COMPUTED_VALUE"""),"Хабаровский")</f>
        <v>Хабаровский</v>
      </c>
      <c r="AC13" s="304"/>
      <c r="AD13" s="304"/>
      <c r="AE13" s="304"/>
      <c r="AF13" s="305"/>
      <c r="AG13" s="355"/>
      <c r="AH13" s="352">
        <f>IFERROR(__xludf.DUMMYFUNCTION("""COMPUTED_VALUE"""),9.0)</f>
        <v>9</v>
      </c>
      <c r="AI13" s="302" t="str">
        <f>IF($AH13=0,"",(VLOOKUP($AH13,'Пр.взв'!$D$6:$J$71,2,0)))</f>
        <v>ПОВАЛИХИНА  Ксения</v>
      </c>
      <c r="AJ13" s="302" t="str">
        <f>IF($AH13=0,"",(VLOOKUP($AH13,'Пр.взв'!$D$6:$J$71,5,0)))</f>
        <v>КМС</v>
      </c>
      <c r="AK13" s="302" t="str">
        <f>IF($AH13=0,"",(VLOOKUP($AH13,'Пр.взв'!$D$6:$J$71,6,0)))</f>
        <v>ЦФО</v>
      </c>
      <c r="AL13" s="302" t="str">
        <f>IF($AH13=0,"",(VLOOKUP($AH13,'Пр.взв'!$D$6:$M$71,8,0)))</f>
        <v>Московская</v>
      </c>
      <c r="AM13" s="304" t="str">
        <f>IF(AH13=0,"", IF(AH14=0,"СВОБОДЕН",""))</f>
        <v/>
      </c>
      <c r="AN13" s="304"/>
      <c r="AO13" s="304"/>
      <c r="AP13" s="305"/>
    </row>
    <row r="14" ht="27.75" customHeight="1">
      <c r="A14" s="361">
        <v>0.0</v>
      </c>
      <c r="B14" s="351">
        <f t="shared" si="1"/>
        <v>11</v>
      </c>
      <c r="C14" s="356">
        <f>IFERROR(__xludf.DUMMYFUNCTION("""COMPUTED_VALUE"""),11.0)</f>
        <v>11</v>
      </c>
      <c r="D14" s="307" t="str">
        <f>IF(C14=0,"",(VLOOKUP($C14,'Пр.взв'!$D$6:$J$76,2,0)))</f>
        <v>ЗАИКИНА Анастасия</v>
      </c>
      <c r="E14" s="307" t="str">
        <f>IF(C14=0,"",(VLOOKUP($C14,'Пр.взв'!$D$6:$J$76,5,0)))</f>
        <v>1р</v>
      </c>
      <c r="F14" s="307" t="str">
        <f>IF(C14=0,"",(VLOOKUP($C14,'Пр.взв'!$D$6:$M$76,6,0)))</f>
        <v>ДВФО</v>
      </c>
      <c r="G14" s="307" t="str">
        <f>IF(C14=0,"",(VLOOKUP($C14,'Пр.взв'!$D$6:$M$76,8,0)))</f>
        <v>Приморский</v>
      </c>
      <c r="H14" s="309"/>
      <c r="I14" s="309"/>
      <c r="J14" s="309"/>
      <c r="K14" s="310"/>
      <c r="L14" s="361"/>
      <c r="M14" s="362">
        <f>IFERROR(__xludf.DUMMYFUNCTION("""COMPUTED_VALUE"""),23.0)</f>
        <v>23</v>
      </c>
      <c r="N14" s="356">
        <f>IFERROR(__xludf.DUMMYFUNCTION("""COMPUTED_VALUE"""),23.0)</f>
        <v>23</v>
      </c>
      <c r="O14" s="307" t="str">
        <f>IFERROR(__xludf.DUMMYFUNCTION("""COMPUTED_VALUE"""),"БУКРЕЕВА Юлия")</f>
        <v>БУКРЕЕВА Юлия</v>
      </c>
      <c r="P14" s="307" t="str">
        <f>IFERROR(__xludf.DUMMYFUNCTION("""COMPUTED_VALUE"""),"КМС")</f>
        <v>КМС</v>
      </c>
      <c r="Q14" s="307" t="str">
        <f>IFERROR(__xludf.DUMMYFUNCTION("""COMPUTED_VALUE"""),"СФО")</f>
        <v>СФО</v>
      </c>
      <c r="R14" s="307" t="str">
        <f>IFERROR(__xludf.DUMMYFUNCTION("""COMPUTED_VALUE"""),"Новосибирская")</f>
        <v>Новосибирская</v>
      </c>
      <c r="S14" s="309"/>
      <c r="T14" s="309"/>
      <c r="U14" s="309"/>
      <c r="V14" s="310"/>
      <c r="W14" s="355"/>
      <c r="X14" s="356">
        <f>IFERROR(__xludf.DUMMYFUNCTION("""COMPUTED_VALUE"""),23.0)</f>
        <v>23</v>
      </c>
      <c r="Y14" s="307" t="str">
        <f>IFERROR(__xludf.DUMMYFUNCTION("""COMPUTED_VALUE"""),"БУКРЕЕВА Юлия")</f>
        <v>БУКРЕЕВА Юлия</v>
      </c>
      <c r="Z14" s="307" t="str">
        <f>IFERROR(__xludf.DUMMYFUNCTION("""COMPUTED_VALUE"""),"КМС")</f>
        <v>КМС</v>
      </c>
      <c r="AA14" s="307" t="str">
        <f>IFERROR(__xludf.DUMMYFUNCTION("""COMPUTED_VALUE"""),"СФО")</f>
        <v>СФО</v>
      </c>
      <c r="AB14" s="307" t="str">
        <f>IFERROR(__xludf.DUMMYFUNCTION("""COMPUTED_VALUE"""),"Новосибирская")</f>
        <v>Новосибирская</v>
      </c>
      <c r="AC14" s="309"/>
      <c r="AD14" s="309"/>
      <c r="AE14" s="309"/>
      <c r="AF14" s="310"/>
      <c r="AG14" s="355"/>
      <c r="AH14" s="356">
        <f>IFERROR(__xludf.DUMMYFUNCTION("""COMPUTED_VALUE"""),11.0)</f>
        <v>11</v>
      </c>
      <c r="AI14" s="307" t="str">
        <f>IF($AH14=0,"",(VLOOKUP($AH14,'Пр.взв'!$D$6:$J$71,2,0)))</f>
        <v>ЗАИКИНА Анастасия</v>
      </c>
      <c r="AJ14" s="307" t="str">
        <f>IF($AH14=0,"",(VLOOKUP($AH14,'Пр.взв'!$D$6:$J$71,5,0)))</f>
        <v>1р</v>
      </c>
      <c r="AK14" s="307" t="str">
        <f>IF($AH14=0,"",(VLOOKUP($AH14,'Пр.взв'!$D$6:$J$71,6,0)))</f>
        <v>ДВФО</v>
      </c>
      <c r="AL14" s="307" t="str">
        <f>IF($AH14=0,"",(VLOOKUP($AH14,'Пр.взв'!$D$6:$M$71,8,0)))</f>
        <v>Приморский</v>
      </c>
      <c r="AM14" s="309"/>
      <c r="AN14" s="309"/>
      <c r="AO14" s="309"/>
      <c r="AP14" s="310"/>
    </row>
    <row r="15" ht="27.75" customHeight="1">
      <c r="A15" s="361">
        <v>11.0</v>
      </c>
      <c r="B15" s="351">
        <f t="shared" si="1"/>
        <v>10</v>
      </c>
      <c r="C15" s="352">
        <f>IFERROR(__xludf.DUMMYFUNCTION("""COMPUTED_VALUE"""),10.0)</f>
        <v>10</v>
      </c>
      <c r="D15" s="302" t="str">
        <f>IF(C15=0,"",(VLOOKUP($C15,'Пр.взв'!$D$6:$J$76,2,0)))</f>
        <v>ЧЕРНЕЦОВА Александра</v>
      </c>
      <c r="E15" s="302" t="str">
        <f>IF(C15=0,"",(VLOOKUP($C15,'Пр.взв'!$D$6:$J$76,5,0)))</f>
        <v>КМС</v>
      </c>
      <c r="F15" s="302" t="str">
        <f>IF(C15=0,"",(VLOOKUP($C15,'Пр.взв'!$D$6:$M$76,6,0)))</f>
        <v>СФО</v>
      </c>
      <c r="G15" s="302" t="str">
        <f>IF(C15=0,"",(VLOOKUP($C15,'Пр.взв'!$D$6:$M$76,8,0)))</f>
        <v>Алтайский</v>
      </c>
      <c r="H15" s="304" t="str">
        <f>IF(C15=0,"", IF(C16=0,"СВОБОДЕН",""))</f>
        <v/>
      </c>
      <c r="I15" s="304"/>
      <c r="J15" s="304"/>
      <c r="K15" s="305"/>
      <c r="L15" s="361"/>
      <c r="M15" s="362">
        <f>IFERROR(__xludf.DUMMYFUNCTION("""COMPUTED_VALUE"""),22.0)</f>
        <v>22</v>
      </c>
      <c r="N15" s="352">
        <f>IFERROR(__xludf.DUMMYFUNCTION("""COMPUTED_VALUE"""),22.0)</f>
        <v>22</v>
      </c>
      <c r="O15" s="302" t="str">
        <f>IFERROR(__xludf.DUMMYFUNCTION("""COMPUTED_VALUE"""),"ЗУЕВА Наталья ")</f>
        <v>ЗУЕВА Наталья </v>
      </c>
      <c r="P15" s="302" t="str">
        <f>IFERROR(__xludf.DUMMYFUNCTION("""COMPUTED_VALUE"""),"КМС")</f>
        <v>КМС</v>
      </c>
      <c r="Q15" s="302" t="str">
        <f>IFERROR(__xludf.DUMMYFUNCTION("""COMPUTED_VALUE"""),"ЮФО")</f>
        <v>ЮФО</v>
      </c>
      <c r="R15" s="302" t="str">
        <f>IFERROR(__xludf.DUMMYFUNCTION("""COMPUTED_VALUE"""),"Краснодарский")</f>
        <v>Краснодарский</v>
      </c>
      <c r="S15" s="304" t="str">
        <f>IFERROR(__xludf.DUMMYFUNCTION("""COMPUTED_VALUE"""),"")</f>
        <v/>
      </c>
      <c r="T15" s="304"/>
      <c r="U15" s="304"/>
      <c r="V15" s="305"/>
      <c r="W15" s="355"/>
      <c r="X15" s="352">
        <f>IFERROR(__xludf.DUMMYFUNCTION("""COMPUTED_VALUE"""),22.0)</f>
        <v>22</v>
      </c>
      <c r="Y15" s="302" t="str">
        <f>IFERROR(__xludf.DUMMYFUNCTION("""COMPUTED_VALUE"""),"ЗУЕВА Наталья ")</f>
        <v>ЗУЕВА Наталья </v>
      </c>
      <c r="Z15" s="302" t="str">
        <f>IFERROR(__xludf.DUMMYFUNCTION("""COMPUTED_VALUE"""),"КМС")</f>
        <v>КМС</v>
      </c>
      <c r="AA15" s="302" t="str">
        <f>IFERROR(__xludf.DUMMYFUNCTION("""COMPUTED_VALUE"""),"ЮФО")</f>
        <v>ЮФО</v>
      </c>
      <c r="AB15" s="302" t="str">
        <f>IFERROR(__xludf.DUMMYFUNCTION("""COMPUTED_VALUE"""),"Краснодарский")</f>
        <v>Краснодарский</v>
      </c>
      <c r="AC15" s="304"/>
      <c r="AD15" s="304"/>
      <c r="AE15" s="304"/>
      <c r="AF15" s="305"/>
      <c r="AG15" s="355"/>
      <c r="AH15" s="352">
        <f>IFERROR(__xludf.DUMMYFUNCTION("""COMPUTED_VALUE"""),10.0)</f>
        <v>10</v>
      </c>
      <c r="AI15" s="302" t="str">
        <f>IF($AH15=0,"",(VLOOKUP($AH15,'Пр.взв'!$D$6:$J$71,2,0)))</f>
        <v>ЧЕРНЕЦОВА Александра</v>
      </c>
      <c r="AJ15" s="302" t="str">
        <f>IF($AH15=0,"",(VLOOKUP($AH15,'Пр.взв'!$D$6:$J$71,5,0)))</f>
        <v>КМС</v>
      </c>
      <c r="AK15" s="302" t="str">
        <f>IF($AH15=0,"",(VLOOKUP($AH15,'Пр.взв'!$D$6:$J$71,6,0)))</f>
        <v>СФО</v>
      </c>
      <c r="AL15" s="302" t="str">
        <f>IF($AH15=0,"",(VLOOKUP($AH15,'Пр.взв'!$D$6:$M$71,8,0)))</f>
        <v>Алтайский</v>
      </c>
      <c r="AM15" s="304" t="str">
        <f>IF(AH15=0,"", IF(AH16=0,"СВОБОДЕН",""))</f>
        <v/>
      </c>
      <c r="AN15" s="304"/>
      <c r="AO15" s="304"/>
      <c r="AP15" s="305"/>
    </row>
    <row r="16" ht="27.75" customHeight="1">
      <c r="A16" s="361">
        <v>12.0</v>
      </c>
      <c r="B16" s="351">
        <f t="shared" si="1"/>
        <v>12</v>
      </c>
      <c r="C16" s="356">
        <f>IFERROR(__xludf.DUMMYFUNCTION("""COMPUTED_VALUE"""),12.0)</f>
        <v>12</v>
      </c>
      <c r="D16" s="307" t="str">
        <f>IF(C16=0,"",(VLOOKUP($C16,'Пр.взв'!$D$6:$J$76,2,0)))</f>
        <v>ФИЛИППОВА Валерия</v>
      </c>
      <c r="E16" s="307" t="str">
        <f>IF(C16=0,"",(VLOOKUP($C16,'Пр.взв'!$D$6:$J$76,5,0)))</f>
        <v>1р</v>
      </c>
      <c r="F16" s="307" t="str">
        <f>IF(C16=0,"",(VLOOKUP($C16,'Пр.взв'!$D$6:$M$76,6,0)))</f>
        <v>УФО</v>
      </c>
      <c r="G16" s="307" t="str">
        <f>IF(C16=0,"",(VLOOKUP($C16,'Пр.взв'!$D$6:$M$76,8,0)))</f>
        <v>ХМАО-Югра</v>
      </c>
      <c r="H16" s="309"/>
      <c r="I16" s="309"/>
      <c r="J16" s="309"/>
      <c r="K16" s="310"/>
      <c r="L16" s="361"/>
      <c r="M16" s="362">
        <f>IFERROR(__xludf.DUMMYFUNCTION("""COMPUTED_VALUE"""),24.0)</f>
        <v>24</v>
      </c>
      <c r="N16" s="356">
        <f>IFERROR(__xludf.DUMMYFUNCTION("""COMPUTED_VALUE"""),24.0)</f>
        <v>24</v>
      </c>
      <c r="O16" s="307" t="str">
        <f>IFERROR(__xludf.DUMMYFUNCTION("""COMPUTED_VALUE"""),"БУРДИНА Анастасия")</f>
        <v>БУРДИНА Анастасия</v>
      </c>
      <c r="P16" s="307" t="str">
        <f>IFERROR(__xludf.DUMMYFUNCTION("""COMPUTED_VALUE"""),"КМС")</f>
        <v>КМС</v>
      </c>
      <c r="Q16" s="307" t="str">
        <f>IFERROR(__xludf.DUMMYFUNCTION("""COMPUTED_VALUE"""),"ПФО")</f>
        <v>ПФО</v>
      </c>
      <c r="R16" s="307" t="str">
        <f>IFERROR(__xludf.DUMMYFUNCTION("""COMPUTED_VALUE"""),"Пермский")</f>
        <v>Пермский</v>
      </c>
      <c r="S16" s="309"/>
      <c r="T16" s="309"/>
      <c r="U16" s="309"/>
      <c r="V16" s="310"/>
      <c r="W16" s="355"/>
      <c r="X16" s="356">
        <f>IFERROR(__xludf.DUMMYFUNCTION("""COMPUTED_VALUE"""),24.0)</f>
        <v>24</v>
      </c>
      <c r="Y16" s="307" t="str">
        <f>IFERROR(__xludf.DUMMYFUNCTION("""COMPUTED_VALUE"""),"БУРДИНА Анастасия")</f>
        <v>БУРДИНА Анастасия</v>
      </c>
      <c r="Z16" s="307" t="str">
        <f>IFERROR(__xludf.DUMMYFUNCTION("""COMPUTED_VALUE"""),"КМС")</f>
        <v>КМС</v>
      </c>
      <c r="AA16" s="307" t="str">
        <f>IFERROR(__xludf.DUMMYFUNCTION("""COMPUTED_VALUE"""),"ПФО")</f>
        <v>ПФО</v>
      </c>
      <c r="AB16" s="307" t="str">
        <f>IFERROR(__xludf.DUMMYFUNCTION("""COMPUTED_VALUE"""),"Пермский")</f>
        <v>Пермский</v>
      </c>
      <c r="AC16" s="309"/>
      <c r="AD16" s="309"/>
      <c r="AE16" s="309"/>
      <c r="AF16" s="310"/>
      <c r="AG16" s="355"/>
      <c r="AH16" s="356">
        <f>IFERROR(__xludf.DUMMYFUNCTION("""COMPUTED_VALUE"""),12.0)</f>
        <v>12</v>
      </c>
      <c r="AI16" s="307" t="str">
        <f>IF($AH16=0,"",(VLOOKUP($AH16,'Пр.взв'!$D$6:$J$71,2,0)))</f>
        <v>ФИЛИППОВА Валерия</v>
      </c>
      <c r="AJ16" s="307" t="str">
        <f>IF($AH16=0,"",(VLOOKUP($AH16,'Пр.взв'!$D$6:$J$71,5,0)))</f>
        <v>1р</v>
      </c>
      <c r="AK16" s="307" t="str">
        <f>IF($AH16=0,"",(VLOOKUP($AH16,'Пр.взв'!$D$6:$J$71,6,0)))</f>
        <v>УФО</v>
      </c>
      <c r="AL16" s="307" t="str">
        <f>IF($AH16=0,"",(VLOOKUP($AH16,'Пр.взв'!$D$6:$M$71,8,0)))</f>
        <v>ХМАО-Югра</v>
      </c>
      <c r="AM16" s="309"/>
      <c r="AN16" s="309"/>
      <c r="AO16" s="309"/>
      <c r="AP16" s="310"/>
    </row>
    <row r="17" ht="27.75" customHeight="1">
      <c r="A17" s="361">
        <v>13.0</v>
      </c>
      <c r="B17" s="351">
        <f t="shared" si="1"/>
        <v>13</v>
      </c>
      <c r="C17" s="352">
        <f>IFERROR(__xludf.DUMMYFUNCTION("""COMPUTED_VALUE"""),13.0)</f>
        <v>13</v>
      </c>
      <c r="D17" s="302" t="str">
        <f>IF(C17=0,"",(VLOOKUP($C17,'Пр.взв'!$D$6:$J$76,2,0)))</f>
        <v>БЕЛАШ софия</v>
      </c>
      <c r="E17" s="302" t="str">
        <f>IF(C17=0,"",(VLOOKUP($C17,'Пр.взв'!$D$6:$J$76,5,0)))</f>
        <v>КМС</v>
      </c>
      <c r="F17" s="302" t="str">
        <f>IF(C17=0,"",(VLOOKUP($C17,'Пр.взв'!$D$6:$M$76,6,0)))</f>
        <v>ПФО</v>
      </c>
      <c r="G17" s="302" t="str">
        <f>IF(C17=0,"",(VLOOKUP($C17,'Пр.взв'!$D$6:$M$76,8,0)))</f>
        <v>Р.Башкортостан</v>
      </c>
      <c r="H17" s="304" t="str">
        <f>IF(C17=0,"", IF(C18=0,"СВОБОДЕН",""))</f>
        <v/>
      </c>
      <c r="I17" s="304"/>
      <c r="J17" s="304"/>
      <c r="K17" s="305"/>
      <c r="L17" s="361"/>
      <c r="M17" s="361">
        <f>IFERROR(__xludf.DUMMYFUNCTION("""COMPUTED_VALUE"""),13.5)</f>
        <v>13.5</v>
      </c>
      <c r="N17" s="352"/>
      <c r="O17" s="302" t="str">
        <f>IFERROR(__xludf.DUMMYFUNCTION("""COMPUTED_VALUE"""),"")</f>
        <v/>
      </c>
      <c r="P17" s="302" t="str">
        <f>IFERROR(__xludf.DUMMYFUNCTION("""COMPUTED_VALUE"""),"")</f>
        <v/>
      </c>
      <c r="Q17" s="302" t="str">
        <f>IFERROR(__xludf.DUMMYFUNCTION("""COMPUTED_VALUE"""),"")</f>
        <v/>
      </c>
      <c r="R17" s="302" t="str">
        <f>IFERROR(__xludf.DUMMYFUNCTION("""COMPUTED_VALUE"""),"")</f>
        <v/>
      </c>
      <c r="S17" s="304" t="str">
        <f>IFERROR(__xludf.DUMMYFUNCTION("""COMPUTED_VALUE"""),"")</f>
        <v/>
      </c>
      <c r="T17" s="304"/>
      <c r="U17" s="304"/>
      <c r="V17" s="305"/>
      <c r="W17" s="355"/>
      <c r="X17" s="352"/>
      <c r="Y17" s="302"/>
      <c r="Z17" s="302"/>
      <c r="AA17" s="302"/>
      <c r="AB17" s="302"/>
      <c r="AC17" s="304"/>
      <c r="AD17" s="304"/>
      <c r="AE17" s="304"/>
      <c r="AF17" s="305"/>
      <c r="AG17" s="355"/>
      <c r="AH17" s="352">
        <f>IFERROR(__xludf.DUMMYFUNCTION("""COMPUTED_VALUE"""),13.0)</f>
        <v>13</v>
      </c>
      <c r="AI17" s="302" t="str">
        <f>IF($AH17=0,"",(VLOOKUP($AH17,'Пр.взв'!$D$6:$J$71,2,0)))</f>
        <v>БЕЛАШ софия</v>
      </c>
      <c r="AJ17" s="302" t="str">
        <f>IF($AH17=0,"",(VLOOKUP($AH17,'Пр.взв'!$D$6:$J$71,5,0)))</f>
        <v>КМС</v>
      </c>
      <c r="AK17" s="302" t="str">
        <f>IF($AH17=0,"",(VLOOKUP($AH17,'Пр.взв'!$D$6:$J$71,6,0)))</f>
        <v>ПФО</v>
      </c>
      <c r="AL17" s="302" t="str">
        <f>IF($AH17=0,"",(VLOOKUP($AH17,'Пр.взв'!$D$6:$M$71,8,0)))</f>
        <v>Р.Башкортостан</v>
      </c>
      <c r="AM17" s="304" t="str">
        <f>IF(AH17=0,"", IF(AH18=0,"СВОБОДЕН",""))</f>
        <v/>
      </c>
      <c r="AN17" s="304"/>
      <c r="AO17" s="304"/>
      <c r="AP17" s="305"/>
    </row>
    <row r="18" ht="27.75" customHeight="1">
      <c r="A18" s="361">
        <v>14.0</v>
      </c>
      <c r="B18" s="351">
        <f t="shared" si="1"/>
        <v>15</v>
      </c>
      <c r="C18" s="356">
        <f>IFERROR(__xludf.DUMMYFUNCTION("""COMPUTED_VALUE"""),15.0)</f>
        <v>15</v>
      </c>
      <c r="D18" s="307" t="str">
        <f>IF(C18=0,"",(VLOOKUP($C18,'Пр.взв'!$D$6:$J$76,2,0)))</f>
        <v>БОБРИКОВА Елизавета</v>
      </c>
      <c r="E18" s="307" t="str">
        <f>IF(C18=0,"",(VLOOKUP($C18,'Пр.взв'!$D$6:$J$76,5,0)))</f>
        <v>КМС</v>
      </c>
      <c r="F18" s="307" t="str">
        <f>IF(C18=0,"",(VLOOKUP($C18,'Пр.взв'!$D$6:$M$76,6,0)))</f>
        <v>ЦФО</v>
      </c>
      <c r="G18" s="307" t="str">
        <f>IF(C18=0,"",(VLOOKUP($C18,'Пр.взв'!$D$6:$M$76,8,0)))</f>
        <v>Тверская</v>
      </c>
      <c r="H18" s="309"/>
      <c r="I18" s="309"/>
      <c r="J18" s="309"/>
      <c r="K18" s="310"/>
      <c r="L18" s="361"/>
      <c r="M18" s="361">
        <f>IFERROR(__xludf.DUMMYFUNCTION("""COMPUTED_VALUE"""),13.5)</f>
        <v>13.5</v>
      </c>
      <c r="N18" s="356"/>
      <c r="O18" s="307" t="str">
        <f>IFERROR(__xludf.DUMMYFUNCTION("""COMPUTED_VALUE"""),"")</f>
        <v/>
      </c>
      <c r="P18" s="307" t="str">
        <f>IFERROR(__xludf.DUMMYFUNCTION("""COMPUTED_VALUE"""),"")</f>
        <v/>
      </c>
      <c r="Q18" s="307" t="str">
        <f>IFERROR(__xludf.DUMMYFUNCTION("""COMPUTED_VALUE"""),"")</f>
        <v/>
      </c>
      <c r="R18" s="307" t="str">
        <f>IFERROR(__xludf.DUMMYFUNCTION("""COMPUTED_VALUE"""),"")</f>
        <v/>
      </c>
      <c r="S18" s="309"/>
      <c r="T18" s="309"/>
      <c r="U18" s="309"/>
      <c r="V18" s="310"/>
      <c r="W18" s="355"/>
      <c r="X18" s="356"/>
      <c r="Y18" s="307"/>
      <c r="Z18" s="307"/>
      <c r="AA18" s="307"/>
      <c r="AB18" s="307"/>
      <c r="AC18" s="309"/>
      <c r="AD18" s="309"/>
      <c r="AE18" s="309"/>
      <c r="AF18" s="310"/>
      <c r="AG18" s="355"/>
      <c r="AH18" s="356">
        <f>IFERROR(__xludf.DUMMYFUNCTION("""COMPUTED_VALUE"""),15.0)</f>
        <v>15</v>
      </c>
      <c r="AI18" s="307" t="str">
        <f>IF($AH18=0,"",(VLOOKUP($AH18,'Пр.взв'!$D$6:$J$71,2,0)))</f>
        <v>БОБРИКОВА Елизавета</v>
      </c>
      <c r="AJ18" s="307" t="str">
        <f>IF($AH18=0,"",(VLOOKUP($AH18,'Пр.взв'!$D$6:$J$71,5,0)))</f>
        <v>КМС</v>
      </c>
      <c r="AK18" s="307" t="str">
        <f>IF($AH18=0,"",(VLOOKUP($AH18,'Пр.взв'!$D$6:$J$71,6,0)))</f>
        <v>ЦФО</v>
      </c>
      <c r="AL18" s="307" t="str">
        <f>IF($AH18=0,"",(VLOOKUP($AH18,'Пр.взв'!$D$6:$M$71,8,0)))</f>
        <v>Тверская</v>
      </c>
      <c r="AM18" s="309"/>
      <c r="AN18" s="309"/>
      <c r="AO18" s="309"/>
      <c r="AP18" s="310"/>
    </row>
    <row r="19" ht="27.75" customHeight="1">
      <c r="A19" s="361">
        <v>15.0</v>
      </c>
      <c r="B19" s="351">
        <f t="shared" si="1"/>
        <v>14</v>
      </c>
      <c r="C19" s="352">
        <f>IFERROR(__xludf.DUMMYFUNCTION("""COMPUTED_VALUE"""),14.0)</f>
        <v>14</v>
      </c>
      <c r="D19" s="302" t="str">
        <f>IF(C19=0,"",(VLOOKUP($C19,'Пр.взв'!$D$6:$J$76,2,0)))</f>
        <v>ТАРАСОВА Аврора</v>
      </c>
      <c r="E19" s="302" t="str">
        <f>IF(C19=0,"",(VLOOKUP($C19,'Пр.взв'!$D$6:$J$76,5,0)))</f>
        <v>1р</v>
      </c>
      <c r="F19" s="302" t="str">
        <f>IF(C19=0,"",(VLOOKUP($C19,'Пр.взв'!$D$6:$M$76,6,0)))</f>
        <v>ЦФО</v>
      </c>
      <c r="G19" s="302" t="str">
        <f>IF(C19=0,"",(VLOOKUP($C19,'Пр.взв'!$D$6:$M$76,8,0)))</f>
        <v>Московская</v>
      </c>
      <c r="H19" s="304" t="str">
        <f>IF(C19=0,"", IF(C20=0,"СВОБОДЕН",""))</f>
        <v/>
      </c>
      <c r="I19" s="304"/>
      <c r="J19" s="304"/>
      <c r="K19" s="305"/>
      <c r="L19" s="361"/>
      <c r="M19" s="361">
        <f>IFERROR(__xludf.DUMMYFUNCTION("""COMPUTED_VALUE"""),13.5)</f>
        <v>13.5</v>
      </c>
      <c r="N19" s="352"/>
      <c r="O19" s="302" t="str">
        <f>IFERROR(__xludf.DUMMYFUNCTION("""COMPUTED_VALUE"""),"")</f>
        <v/>
      </c>
      <c r="P19" s="302" t="str">
        <f>IFERROR(__xludf.DUMMYFUNCTION("""COMPUTED_VALUE"""),"")</f>
        <v/>
      </c>
      <c r="Q19" s="302" t="str">
        <f>IFERROR(__xludf.DUMMYFUNCTION("""COMPUTED_VALUE"""),"")</f>
        <v/>
      </c>
      <c r="R19" s="302" t="str">
        <f>IFERROR(__xludf.DUMMYFUNCTION("""COMPUTED_VALUE"""),"")</f>
        <v/>
      </c>
      <c r="S19" s="304" t="str">
        <f>IFERROR(__xludf.DUMMYFUNCTION("""COMPUTED_VALUE"""),"")</f>
        <v/>
      </c>
      <c r="T19" s="304"/>
      <c r="U19" s="304"/>
      <c r="V19" s="305"/>
      <c r="W19" s="355"/>
      <c r="X19" s="352"/>
      <c r="Y19" s="302"/>
      <c r="Z19" s="302"/>
      <c r="AA19" s="302"/>
      <c r="AB19" s="302"/>
      <c r="AC19" s="304"/>
      <c r="AD19" s="304"/>
      <c r="AE19" s="304"/>
      <c r="AF19" s="305"/>
      <c r="AG19" s="355"/>
      <c r="AH19" s="352">
        <f>IFERROR(__xludf.DUMMYFUNCTION("""COMPUTED_VALUE"""),14.0)</f>
        <v>14</v>
      </c>
      <c r="AI19" s="302" t="str">
        <f>IF($AH19=0,"",(VLOOKUP($AH19,'Пр.взв'!$D$6:$J$71,2,0)))</f>
        <v>ТАРАСОВА Аврора</v>
      </c>
      <c r="AJ19" s="302" t="str">
        <f>IF($AH19=0,"",(VLOOKUP($AH19,'Пр.взв'!$D$6:$J$71,5,0)))</f>
        <v>1р</v>
      </c>
      <c r="AK19" s="302" t="str">
        <f>IF($AH19=0,"",(VLOOKUP($AH19,'Пр.взв'!$D$6:$J$71,6,0)))</f>
        <v>ЦФО</v>
      </c>
      <c r="AL19" s="302" t="str">
        <f>IF($AH19=0,"",(VLOOKUP($AH19,'Пр.взв'!$D$6:$M$71,8,0)))</f>
        <v>Московская</v>
      </c>
      <c r="AM19" s="304" t="str">
        <f>IF(AH19=0,"", IF(AH20=0,"СВОБОДЕН",""))</f>
        <v/>
      </c>
      <c r="AN19" s="304"/>
      <c r="AO19" s="304"/>
      <c r="AP19" s="305"/>
    </row>
    <row r="20" ht="27.75" customHeight="1">
      <c r="A20" s="361">
        <v>16.0</v>
      </c>
      <c r="B20" s="351">
        <f t="shared" si="1"/>
        <v>16</v>
      </c>
      <c r="C20" s="356">
        <f>IFERROR(__xludf.DUMMYFUNCTION("""COMPUTED_VALUE"""),16.0)</f>
        <v>16</v>
      </c>
      <c r="D20" s="307" t="str">
        <f>IF(C20=0,"",(VLOOKUP($C20,'Пр.взв'!$D$6:$J$76,2,0)))</f>
        <v>КАПУСТЯН Виктория</v>
      </c>
      <c r="E20" s="307" t="str">
        <f>IF(C20=0,"",(VLOOKUP($C20,'Пр.взв'!$D$6:$J$76,5,0)))</f>
        <v>2р</v>
      </c>
      <c r="F20" s="307" t="str">
        <f>IF(C20=0,"",(VLOOKUP($C20,'Пр.взв'!$D$6:$M$76,6,0)))</f>
        <v>ДВФО</v>
      </c>
      <c r="G20" s="307" t="str">
        <f>IF(C20=0,"",(VLOOKUP($C20,'Пр.взв'!$D$6:$M$76,8,0)))</f>
        <v>Хабаровский</v>
      </c>
      <c r="H20" s="309"/>
      <c r="I20" s="309"/>
      <c r="J20" s="309"/>
      <c r="K20" s="310"/>
      <c r="L20" s="361"/>
      <c r="M20" s="361">
        <f>IFERROR(__xludf.DUMMYFUNCTION("""COMPUTED_VALUE"""),13.5)</f>
        <v>13.5</v>
      </c>
      <c r="N20" s="356"/>
      <c r="O20" s="307" t="str">
        <f>IFERROR(__xludf.DUMMYFUNCTION("""COMPUTED_VALUE"""),"")</f>
        <v/>
      </c>
      <c r="P20" s="307" t="str">
        <f>IFERROR(__xludf.DUMMYFUNCTION("""COMPUTED_VALUE"""),"")</f>
        <v/>
      </c>
      <c r="Q20" s="307" t="str">
        <f>IFERROR(__xludf.DUMMYFUNCTION("""COMPUTED_VALUE"""),"")</f>
        <v/>
      </c>
      <c r="R20" s="307" t="str">
        <f>IFERROR(__xludf.DUMMYFUNCTION("""COMPUTED_VALUE"""),"")</f>
        <v/>
      </c>
      <c r="S20" s="309"/>
      <c r="T20" s="309"/>
      <c r="U20" s="309"/>
      <c r="V20" s="310"/>
      <c r="W20" s="355"/>
      <c r="X20" s="356"/>
      <c r="Y20" s="307"/>
      <c r="Z20" s="307"/>
      <c r="AA20" s="307"/>
      <c r="AB20" s="307"/>
      <c r="AC20" s="309"/>
      <c r="AD20" s="309"/>
      <c r="AE20" s="309"/>
      <c r="AF20" s="310"/>
      <c r="AG20" s="355"/>
      <c r="AH20" s="356">
        <f>IFERROR(__xludf.DUMMYFUNCTION("""COMPUTED_VALUE"""),16.0)</f>
        <v>16</v>
      </c>
      <c r="AI20" s="307" t="str">
        <f>IF($AH20=0,"",(VLOOKUP($AH20,'Пр.взв'!$D$6:$J$71,2,0)))</f>
        <v>КАПУСТЯН Виктория</v>
      </c>
      <c r="AJ20" s="307" t="str">
        <f>IF($AH20=0,"",(VLOOKUP($AH20,'Пр.взв'!$D$6:$J$71,5,0)))</f>
        <v>2р</v>
      </c>
      <c r="AK20" s="307" t="str">
        <f>IF($AH20=0,"",(VLOOKUP($AH20,'Пр.взв'!$D$6:$J$71,6,0)))</f>
        <v>ДВФО</v>
      </c>
      <c r="AL20" s="307" t="str">
        <f>IF($AH20=0,"",(VLOOKUP($AH20,'Пр.взв'!$D$6:$M$71,8,0)))</f>
        <v>Хабаровский</v>
      </c>
      <c r="AM20" s="309"/>
      <c r="AN20" s="309"/>
      <c r="AO20" s="309"/>
      <c r="AP20" s="310"/>
    </row>
    <row r="21" ht="27.75" customHeight="1">
      <c r="A21" s="361">
        <v>17.0</v>
      </c>
      <c r="B21" s="351">
        <f t="shared" si="1"/>
        <v>17</v>
      </c>
      <c r="C21" s="352">
        <f>IFERROR(__xludf.DUMMYFUNCTION("""COMPUTED_VALUE"""),17.0)</f>
        <v>17</v>
      </c>
      <c r="D21" s="302" t="str">
        <f>IF(C21=0,"",(VLOOKUP($C21,'Пр.взв'!$D$6:$J$76,2,0)))</f>
        <v>ТЕПУКОВА Камила</v>
      </c>
      <c r="E21" s="302" t="str">
        <f>IF(C21=0,"",(VLOOKUP($C21,'Пр.взв'!$D$6:$J$76,5,0)))</f>
        <v>КМС</v>
      </c>
      <c r="F21" s="302" t="str">
        <f>IF(C21=0,"",(VLOOKUP($C21,'Пр.взв'!$D$6:$M$76,6,0)))</f>
        <v>СФО</v>
      </c>
      <c r="G21" s="302" t="str">
        <f>IF(C21=0,"",(VLOOKUP($C21,'Пр.взв'!$D$6:$M$76,8,0)))</f>
        <v>Р.Алтай</v>
      </c>
      <c r="H21" s="304" t="str">
        <f>IF(C21=0,"", IF(C22=0,"СВОБОДЕН",""))</f>
        <v/>
      </c>
      <c r="I21" s="304"/>
      <c r="J21" s="304"/>
      <c r="K21" s="305"/>
      <c r="L21" s="361"/>
      <c r="M21" s="361">
        <f>IFERROR(__xludf.DUMMYFUNCTION("""COMPUTED_VALUE"""),13.5)</f>
        <v>13.5</v>
      </c>
      <c r="N21" s="352"/>
      <c r="O21" s="302" t="str">
        <f>IFERROR(__xludf.DUMMYFUNCTION("""COMPUTED_VALUE"""),"")</f>
        <v/>
      </c>
      <c r="P21" s="302" t="str">
        <f>IFERROR(__xludf.DUMMYFUNCTION("""COMPUTED_VALUE"""),"")</f>
        <v/>
      </c>
      <c r="Q21" s="302" t="str">
        <f>IFERROR(__xludf.DUMMYFUNCTION("""COMPUTED_VALUE"""),"")</f>
        <v/>
      </c>
      <c r="R21" s="302" t="str">
        <f>IFERROR(__xludf.DUMMYFUNCTION("""COMPUTED_VALUE"""),"")</f>
        <v/>
      </c>
      <c r="S21" s="304" t="str">
        <f>IFERROR(__xludf.DUMMYFUNCTION("""COMPUTED_VALUE"""),"")</f>
        <v/>
      </c>
      <c r="T21" s="304"/>
      <c r="U21" s="304"/>
      <c r="V21" s="305"/>
      <c r="W21" s="355"/>
      <c r="X21" s="352"/>
      <c r="Y21" s="302"/>
      <c r="Z21" s="302"/>
      <c r="AA21" s="302"/>
      <c r="AB21" s="302"/>
      <c r="AC21" s="304"/>
      <c r="AD21" s="304"/>
      <c r="AE21" s="304"/>
      <c r="AF21" s="305"/>
      <c r="AG21" s="355"/>
      <c r="AH21" s="352">
        <f>IFERROR(__xludf.DUMMYFUNCTION("""COMPUTED_VALUE"""),17.0)</f>
        <v>17</v>
      </c>
      <c r="AI21" s="302" t="str">
        <f>IF($AH21=0,"",(VLOOKUP($AH21,'Пр.взв'!$D$6:$J$71,2,0)))</f>
        <v>ТЕПУКОВА Камила</v>
      </c>
      <c r="AJ21" s="302" t="str">
        <f>IF($AH21=0,"",(VLOOKUP($AH21,'Пр.взв'!$D$6:$J$71,5,0)))</f>
        <v>КМС</v>
      </c>
      <c r="AK21" s="302" t="str">
        <f>IF($AH21=0,"",(VLOOKUP($AH21,'Пр.взв'!$D$6:$J$71,6,0)))</f>
        <v>СФО</v>
      </c>
      <c r="AL21" s="302" t="str">
        <f>IF($AH21=0,"",(VLOOKUP($AH21,'Пр.взв'!$D$6:$M$71,8,0)))</f>
        <v>Р.Алтай</v>
      </c>
      <c r="AM21" s="304" t="str">
        <f>IF(AH21=0,"", IF(AH22=0,"СВОБОДЕН",""))</f>
        <v/>
      </c>
      <c r="AN21" s="304"/>
      <c r="AO21" s="304"/>
      <c r="AP21" s="305"/>
    </row>
    <row r="22" ht="27.75" customHeight="1">
      <c r="A22" s="361">
        <v>18.0</v>
      </c>
      <c r="B22" s="351">
        <f t="shared" si="1"/>
        <v>19</v>
      </c>
      <c r="C22" s="356">
        <f>IFERROR(__xludf.DUMMYFUNCTION("""COMPUTED_VALUE"""),19.0)</f>
        <v>19</v>
      </c>
      <c r="D22" s="307" t="str">
        <f>IF(C22=0,"",(VLOOKUP($C22,'Пр.взв'!$D$6:$J$76,2,0)))</f>
        <v>АЙТУГАНОВА Тамаша </v>
      </c>
      <c r="E22" s="307" t="str">
        <f>IF(C22=0,"",(VLOOKUP($C22,'Пр.взв'!$D$6:$J$76,5,0)))</f>
        <v>КМС</v>
      </c>
      <c r="F22" s="307" t="str">
        <f>IF(C22=0,"",(VLOOKUP($C22,'Пр.взв'!$D$6:$M$76,6,0)))</f>
        <v>ПФО</v>
      </c>
      <c r="G22" s="307" t="str">
        <f>IF(C22=0,"",(VLOOKUP($C22,'Пр.взв'!$D$6:$M$76,8,0)))</f>
        <v>Оренбургская</v>
      </c>
      <c r="H22" s="309"/>
      <c r="I22" s="309"/>
      <c r="J22" s="309"/>
      <c r="K22" s="310"/>
      <c r="L22" s="361"/>
      <c r="M22" s="361">
        <f>IFERROR(__xludf.DUMMYFUNCTION("""COMPUTED_VALUE"""),13.5)</f>
        <v>13.5</v>
      </c>
      <c r="N22" s="356"/>
      <c r="O22" s="307" t="str">
        <f>IFERROR(__xludf.DUMMYFUNCTION("""COMPUTED_VALUE"""),"")</f>
        <v/>
      </c>
      <c r="P22" s="307" t="str">
        <f>IFERROR(__xludf.DUMMYFUNCTION("""COMPUTED_VALUE"""),"")</f>
        <v/>
      </c>
      <c r="Q22" s="307" t="str">
        <f>IFERROR(__xludf.DUMMYFUNCTION("""COMPUTED_VALUE"""),"")</f>
        <v/>
      </c>
      <c r="R22" s="307" t="str">
        <f>IFERROR(__xludf.DUMMYFUNCTION("""COMPUTED_VALUE"""),"")</f>
        <v/>
      </c>
      <c r="S22" s="309"/>
      <c r="T22" s="309"/>
      <c r="U22" s="309"/>
      <c r="V22" s="310"/>
      <c r="W22" s="355"/>
      <c r="X22" s="356"/>
      <c r="Y22" s="307"/>
      <c r="Z22" s="307"/>
      <c r="AA22" s="307"/>
      <c r="AB22" s="307"/>
      <c r="AC22" s="309"/>
      <c r="AD22" s="309"/>
      <c r="AE22" s="309"/>
      <c r="AF22" s="310"/>
      <c r="AG22" s="355"/>
      <c r="AH22" s="356">
        <f>IFERROR(__xludf.DUMMYFUNCTION("""COMPUTED_VALUE"""),19.0)</f>
        <v>19</v>
      </c>
      <c r="AI22" s="307" t="str">
        <f>IF($AH22=0,"",(VLOOKUP($AH22,'Пр.взв'!$D$6:$J$71,2,0)))</f>
        <v>АЙТУГАНОВА Тамаша </v>
      </c>
      <c r="AJ22" s="307" t="str">
        <f>IF($AH22=0,"",(VLOOKUP($AH22,'Пр.взв'!$D$6:$J$71,5,0)))</f>
        <v>КМС</v>
      </c>
      <c r="AK22" s="307" t="str">
        <f>IF($AH22=0,"",(VLOOKUP($AH22,'Пр.взв'!$D$6:$J$71,6,0)))</f>
        <v>ПФО</v>
      </c>
      <c r="AL22" s="307" t="str">
        <f>IF($AH22=0,"",(VLOOKUP($AH22,'Пр.взв'!$D$6:$M$71,8,0)))</f>
        <v>Оренбургская</v>
      </c>
      <c r="AM22" s="309"/>
      <c r="AN22" s="309"/>
      <c r="AO22" s="309"/>
      <c r="AP22" s="310"/>
    </row>
    <row r="23" ht="27.75" customHeight="1">
      <c r="A23" s="361">
        <v>19.0</v>
      </c>
      <c r="B23" s="351">
        <f t="shared" si="1"/>
        <v>18</v>
      </c>
      <c r="C23" s="352">
        <f>IFERROR(__xludf.DUMMYFUNCTION("""COMPUTED_VALUE"""),18.0)</f>
        <v>18</v>
      </c>
      <c r="D23" s="302" t="str">
        <f>IF(C23=0,"",(VLOOKUP($C23,'Пр.взв'!$D$6:$J$76,2,0)))</f>
        <v>ЕРОШКИНА  Лилия</v>
      </c>
      <c r="E23" s="302" t="str">
        <f>IF(C23=0,"",(VLOOKUP($C23,'Пр.взв'!$D$6:$J$76,5,0)))</f>
        <v>2р</v>
      </c>
      <c r="F23" s="302" t="str">
        <f>IF(C23=0,"",(VLOOKUP($C23,'Пр.взв'!$D$6:$M$76,6,0)))</f>
        <v>УФО</v>
      </c>
      <c r="G23" s="302" t="str">
        <f>IF(C23=0,"",(VLOOKUP($C23,'Пр.взв'!$D$6:$M$76,8,0)))</f>
        <v>ХМАО-Югра</v>
      </c>
      <c r="H23" s="304" t="str">
        <f>IF(C23=0,"", IF(C24=0,"СВОБОДЕН",""))</f>
        <v/>
      </c>
      <c r="I23" s="304"/>
      <c r="J23" s="304"/>
      <c r="K23" s="305"/>
      <c r="L23" s="361"/>
      <c r="M23" s="361">
        <f>IFERROR(__xludf.DUMMYFUNCTION("""COMPUTED_VALUE"""),13.5)</f>
        <v>13.5</v>
      </c>
      <c r="N23" s="352"/>
      <c r="O23" s="302" t="str">
        <f>IFERROR(__xludf.DUMMYFUNCTION("""COMPUTED_VALUE"""),"")</f>
        <v/>
      </c>
      <c r="P23" s="302" t="str">
        <f>IFERROR(__xludf.DUMMYFUNCTION("""COMPUTED_VALUE"""),"")</f>
        <v/>
      </c>
      <c r="Q23" s="302" t="str">
        <f>IFERROR(__xludf.DUMMYFUNCTION("""COMPUTED_VALUE"""),"")</f>
        <v/>
      </c>
      <c r="R23" s="302" t="str">
        <f>IFERROR(__xludf.DUMMYFUNCTION("""COMPUTED_VALUE"""),"")</f>
        <v/>
      </c>
      <c r="S23" s="304" t="str">
        <f>IFERROR(__xludf.DUMMYFUNCTION("""COMPUTED_VALUE"""),"")</f>
        <v/>
      </c>
      <c r="T23" s="304"/>
      <c r="U23" s="304"/>
      <c r="V23" s="305"/>
      <c r="W23" s="355"/>
      <c r="X23" s="352"/>
      <c r="Y23" s="302"/>
      <c r="Z23" s="302"/>
      <c r="AA23" s="302"/>
      <c r="AB23" s="302"/>
      <c r="AC23" s="304"/>
      <c r="AD23" s="304"/>
      <c r="AE23" s="304"/>
      <c r="AF23" s="305"/>
      <c r="AG23" s="355"/>
      <c r="AH23" s="352">
        <f>IFERROR(__xludf.DUMMYFUNCTION("""COMPUTED_VALUE"""),18.0)</f>
        <v>18</v>
      </c>
      <c r="AI23" s="302" t="str">
        <f>IF($AH23=0,"",(VLOOKUP($AH23,'Пр.взв'!$D$6:$J$71,2,0)))</f>
        <v>ЕРОШКИНА  Лилия</v>
      </c>
      <c r="AJ23" s="302" t="str">
        <f>IF($AH23=0,"",(VLOOKUP($AH23,'Пр.взв'!$D$6:$J$71,5,0)))</f>
        <v>2р</v>
      </c>
      <c r="AK23" s="302" t="str">
        <f>IF($AH23=0,"",(VLOOKUP($AH23,'Пр.взв'!$D$6:$J$71,6,0)))</f>
        <v>УФО</v>
      </c>
      <c r="AL23" s="302" t="str">
        <f>IF($AH23=0,"",(VLOOKUP($AH23,'Пр.взв'!$D$6:$M$71,8,0)))</f>
        <v>ХМАО-Югра</v>
      </c>
      <c r="AM23" s="304" t="str">
        <f>IF(AH23=0,"", IF(AH24=0,"СВОБОДЕН",""))</f>
        <v/>
      </c>
      <c r="AN23" s="304"/>
      <c r="AO23" s="304"/>
      <c r="AP23" s="305"/>
    </row>
    <row r="24" ht="27.75" customHeight="1">
      <c r="A24" s="361">
        <v>20.0</v>
      </c>
      <c r="B24" s="351">
        <f t="shared" si="1"/>
        <v>20</v>
      </c>
      <c r="C24" s="356">
        <f>IFERROR(__xludf.DUMMYFUNCTION("""COMPUTED_VALUE"""),20.0)</f>
        <v>20</v>
      </c>
      <c r="D24" s="307" t="str">
        <f>IF(C24=0,"",(VLOOKUP($C24,'Пр.взв'!$D$6:$J$76,2,0)))</f>
        <v>КРАСИКОВА  Ника</v>
      </c>
      <c r="E24" s="307" t="str">
        <f>IF(C24=0,"",(VLOOKUP($C24,'Пр.взв'!$D$6:$J$76,5,0)))</f>
        <v>2р</v>
      </c>
      <c r="F24" s="307" t="str">
        <f>IF(C24=0,"",(VLOOKUP($C24,'Пр.взв'!$D$6:$M$76,6,0)))</f>
        <v>СЗФО</v>
      </c>
      <c r="G24" s="307" t="str">
        <f>IF(C24=0,"",(VLOOKUP($C24,'Пр.взв'!$D$6:$M$76,8,0)))</f>
        <v>Архангельская</v>
      </c>
      <c r="H24" s="309"/>
      <c r="I24" s="309"/>
      <c r="J24" s="309"/>
      <c r="K24" s="310"/>
      <c r="L24" s="361"/>
      <c r="M24" s="361">
        <f>IFERROR(__xludf.DUMMYFUNCTION("""COMPUTED_VALUE"""),13.5)</f>
        <v>13.5</v>
      </c>
      <c r="N24" s="356"/>
      <c r="O24" s="307" t="str">
        <f>IFERROR(__xludf.DUMMYFUNCTION("""COMPUTED_VALUE"""),"")</f>
        <v/>
      </c>
      <c r="P24" s="307" t="str">
        <f>IFERROR(__xludf.DUMMYFUNCTION("""COMPUTED_VALUE"""),"")</f>
        <v/>
      </c>
      <c r="Q24" s="307" t="str">
        <f>IFERROR(__xludf.DUMMYFUNCTION("""COMPUTED_VALUE"""),"")</f>
        <v/>
      </c>
      <c r="R24" s="307" t="str">
        <f>IFERROR(__xludf.DUMMYFUNCTION("""COMPUTED_VALUE"""),"")</f>
        <v/>
      </c>
      <c r="S24" s="309"/>
      <c r="T24" s="309"/>
      <c r="U24" s="309"/>
      <c r="V24" s="310"/>
      <c r="W24" s="355"/>
      <c r="X24" s="356"/>
      <c r="Y24" s="307"/>
      <c r="Z24" s="307"/>
      <c r="AA24" s="307"/>
      <c r="AB24" s="307"/>
      <c r="AC24" s="309"/>
      <c r="AD24" s="309"/>
      <c r="AE24" s="309"/>
      <c r="AF24" s="310"/>
      <c r="AG24" s="355"/>
      <c r="AH24" s="356">
        <f>IFERROR(__xludf.DUMMYFUNCTION("""COMPUTED_VALUE"""),20.0)</f>
        <v>20</v>
      </c>
      <c r="AI24" s="307" t="str">
        <f>IF($AH24=0,"",(VLOOKUP($AH24,'Пр.взв'!$D$6:$J$71,2,0)))</f>
        <v>КРАСИКОВА  Ника</v>
      </c>
      <c r="AJ24" s="307" t="str">
        <f>IF($AH24=0,"",(VLOOKUP($AH24,'Пр.взв'!$D$6:$J$71,5,0)))</f>
        <v>2р</v>
      </c>
      <c r="AK24" s="307" t="str">
        <f>IF($AH24=0,"",(VLOOKUP($AH24,'Пр.взв'!$D$6:$J$71,6,0)))</f>
        <v>СЗФО</v>
      </c>
      <c r="AL24" s="307" t="str">
        <f>IF($AH24=0,"",(VLOOKUP($AH24,'Пр.взв'!$D$6:$M$71,8,0)))</f>
        <v>Архангельская</v>
      </c>
      <c r="AM24" s="309"/>
      <c r="AN24" s="309"/>
      <c r="AO24" s="309"/>
      <c r="AP24" s="310"/>
    </row>
    <row r="25" ht="27.75" customHeight="1">
      <c r="A25" s="361">
        <v>21.0</v>
      </c>
      <c r="B25" s="351">
        <f t="shared" si="1"/>
        <v>21</v>
      </c>
      <c r="C25" s="352">
        <f>IFERROR(__xludf.DUMMYFUNCTION("""COMPUTED_VALUE"""),21.0)</f>
        <v>21</v>
      </c>
      <c r="D25" s="302" t="str">
        <f>IF(C25=0,"",(VLOOKUP($C25,'Пр.взв'!$D$6:$J$76,2,0)))</f>
        <v>КАЗАНКОВА Фаина</v>
      </c>
      <c r="E25" s="302" t="str">
        <f>IF(C25=0,"",(VLOOKUP($C25,'Пр.взв'!$D$6:$J$76,5,0)))</f>
        <v>1р</v>
      </c>
      <c r="F25" s="302" t="str">
        <f>IF(C25=0,"",(VLOOKUP($C25,'Пр.взв'!$D$6:$M$76,6,0)))</f>
        <v>ДВФО</v>
      </c>
      <c r="G25" s="302" t="str">
        <f>IF(C25=0,"",(VLOOKUP($C25,'Пр.взв'!$D$6:$M$76,8,0)))</f>
        <v>Хабаровский</v>
      </c>
      <c r="H25" s="304" t="str">
        <f>IF(C25=0,"", IF(C26=0,"СВОБОДЕН",""))</f>
        <v/>
      </c>
      <c r="I25" s="304"/>
      <c r="J25" s="304"/>
      <c r="K25" s="305"/>
      <c r="L25" s="361"/>
      <c r="M25" s="361">
        <f>IFERROR(__xludf.DUMMYFUNCTION("""COMPUTED_VALUE"""),13.5)</f>
        <v>13.5</v>
      </c>
      <c r="N25" s="352"/>
      <c r="O25" s="302" t="str">
        <f>IFERROR(__xludf.DUMMYFUNCTION("""COMPUTED_VALUE"""),"")</f>
        <v/>
      </c>
      <c r="P25" s="302" t="str">
        <f>IFERROR(__xludf.DUMMYFUNCTION("""COMPUTED_VALUE"""),"")</f>
        <v/>
      </c>
      <c r="Q25" s="302" t="str">
        <f>IFERROR(__xludf.DUMMYFUNCTION("""COMPUTED_VALUE"""),"")</f>
        <v/>
      </c>
      <c r="R25" s="302" t="str">
        <f>IFERROR(__xludf.DUMMYFUNCTION("""COMPUTED_VALUE"""),"")</f>
        <v/>
      </c>
      <c r="S25" s="304" t="str">
        <f>IFERROR(__xludf.DUMMYFUNCTION("""COMPUTED_VALUE"""),"")</f>
        <v/>
      </c>
      <c r="T25" s="304"/>
      <c r="U25" s="304"/>
      <c r="V25" s="305"/>
      <c r="W25" s="355"/>
      <c r="X25" s="352"/>
      <c r="Y25" s="302"/>
      <c r="Z25" s="302"/>
      <c r="AA25" s="302"/>
      <c r="AB25" s="302"/>
      <c r="AC25" s="304"/>
      <c r="AD25" s="304"/>
      <c r="AE25" s="304"/>
      <c r="AF25" s="305"/>
      <c r="AG25" s="355"/>
      <c r="AH25" s="352">
        <f>IFERROR(__xludf.DUMMYFUNCTION("""COMPUTED_VALUE"""),21.0)</f>
        <v>21</v>
      </c>
      <c r="AI25" s="302" t="str">
        <f>IF($AH25=0,"",(VLOOKUP($AH25,'Пр.взв'!$D$6:$J$71,2,0)))</f>
        <v>КАЗАНКОВА Фаина</v>
      </c>
      <c r="AJ25" s="302" t="str">
        <f>IF($AH25=0,"",(VLOOKUP($AH25,'Пр.взв'!$D$6:$J$71,5,0)))</f>
        <v>1р</v>
      </c>
      <c r="AK25" s="302" t="str">
        <f>IF($AH25=0,"",(VLOOKUP($AH25,'Пр.взв'!$D$6:$J$71,6,0)))</f>
        <v>ДВФО</v>
      </c>
      <c r="AL25" s="302" t="str">
        <f>IF($AH25=0,"",(VLOOKUP($AH25,'Пр.взв'!$D$6:$M$71,8,0)))</f>
        <v>Хабаровский</v>
      </c>
      <c r="AM25" s="304" t="str">
        <f>IF(AH25=0,"", IF(AH26=0,"СВОБОДЕН",""))</f>
        <v/>
      </c>
      <c r="AN25" s="304"/>
      <c r="AO25" s="304"/>
      <c r="AP25" s="305"/>
    </row>
    <row r="26" ht="27.75" customHeight="1">
      <c r="A26" s="361">
        <v>22.0</v>
      </c>
      <c r="B26" s="351">
        <f t="shared" si="1"/>
        <v>23</v>
      </c>
      <c r="C26" s="356">
        <f>IFERROR(__xludf.DUMMYFUNCTION("""COMPUTED_VALUE"""),23.0)</f>
        <v>23</v>
      </c>
      <c r="D26" s="307" t="str">
        <f>IF(C26=0,"",(VLOOKUP($C26,'Пр.взв'!$D$6:$J$76,2,0)))</f>
        <v>БУКРЕЕВА Юлия</v>
      </c>
      <c r="E26" s="307" t="str">
        <f>IF(C26=0,"",(VLOOKUP($C26,'Пр.взв'!$D$6:$J$76,5,0)))</f>
        <v>КМС</v>
      </c>
      <c r="F26" s="307" t="str">
        <f>IF(C26=0,"",(VLOOKUP($C26,'Пр.взв'!$D$6:$M$76,6,0)))</f>
        <v>СФО</v>
      </c>
      <c r="G26" s="307" t="str">
        <f>IF(C26=0,"",(VLOOKUP($C26,'Пр.взв'!$D$6:$M$76,8,0)))</f>
        <v>Новосибирская</v>
      </c>
      <c r="H26" s="309"/>
      <c r="I26" s="309"/>
      <c r="J26" s="309"/>
      <c r="K26" s="310"/>
      <c r="L26" s="361"/>
      <c r="M26" s="361">
        <f>IFERROR(__xludf.DUMMYFUNCTION("""COMPUTED_VALUE"""),13.5)</f>
        <v>13.5</v>
      </c>
      <c r="N26" s="356"/>
      <c r="O26" s="307" t="str">
        <f>IFERROR(__xludf.DUMMYFUNCTION("""COMPUTED_VALUE"""),"")</f>
        <v/>
      </c>
      <c r="P26" s="307" t="str">
        <f>IFERROR(__xludf.DUMMYFUNCTION("""COMPUTED_VALUE"""),"")</f>
        <v/>
      </c>
      <c r="Q26" s="307" t="str">
        <f>IFERROR(__xludf.DUMMYFUNCTION("""COMPUTED_VALUE"""),"")</f>
        <v/>
      </c>
      <c r="R26" s="307" t="str">
        <f>IFERROR(__xludf.DUMMYFUNCTION("""COMPUTED_VALUE"""),"")</f>
        <v/>
      </c>
      <c r="S26" s="309"/>
      <c r="T26" s="309"/>
      <c r="U26" s="309"/>
      <c r="V26" s="310"/>
      <c r="W26" s="355"/>
      <c r="X26" s="356"/>
      <c r="Y26" s="307"/>
      <c r="Z26" s="307"/>
      <c r="AA26" s="307"/>
      <c r="AB26" s="307"/>
      <c r="AC26" s="309"/>
      <c r="AD26" s="309"/>
      <c r="AE26" s="309"/>
      <c r="AF26" s="310"/>
      <c r="AG26" s="355"/>
      <c r="AH26" s="356">
        <f>IFERROR(__xludf.DUMMYFUNCTION("""COMPUTED_VALUE"""),23.0)</f>
        <v>23</v>
      </c>
      <c r="AI26" s="307" t="str">
        <f>IF($AH26=0,"",(VLOOKUP($AH26,'Пр.взв'!$D$6:$J$71,2,0)))</f>
        <v>БУКРЕЕВА Юлия</v>
      </c>
      <c r="AJ26" s="307" t="str">
        <f>IF($AH26=0,"",(VLOOKUP($AH26,'Пр.взв'!$D$6:$J$71,5,0)))</f>
        <v>КМС</v>
      </c>
      <c r="AK26" s="307" t="str">
        <f>IF($AH26=0,"",(VLOOKUP($AH26,'Пр.взв'!$D$6:$J$71,6,0)))</f>
        <v>СФО</v>
      </c>
      <c r="AL26" s="307" t="str">
        <f>IF($AH26=0,"",(VLOOKUP($AH26,'Пр.взв'!$D$6:$M$71,8,0)))</f>
        <v>Новосибирская</v>
      </c>
      <c r="AM26" s="309"/>
      <c r="AN26" s="309"/>
      <c r="AO26" s="309"/>
      <c r="AP26" s="310"/>
    </row>
    <row r="27" ht="27.75" customHeight="1">
      <c r="A27" s="361">
        <v>23.0</v>
      </c>
      <c r="B27" s="351">
        <f t="shared" si="1"/>
        <v>22</v>
      </c>
      <c r="C27" s="352">
        <f>IFERROR(__xludf.DUMMYFUNCTION("""COMPUTED_VALUE"""),22.0)</f>
        <v>22</v>
      </c>
      <c r="D27" s="302" t="str">
        <f>IF(C27=0,"",(VLOOKUP($C27,'Пр.взв'!$D$6:$J$76,2,0)))</f>
        <v>ЗУЕВА Наталья </v>
      </c>
      <c r="E27" s="302" t="str">
        <f>IF(C27=0,"",(VLOOKUP($C27,'Пр.взв'!$D$6:$J$76,5,0)))</f>
        <v>КМС</v>
      </c>
      <c r="F27" s="302" t="str">
        <f>IF(C27=0,"",(VLOOKUP($C27,'Пр.взв'!$D$6:$M$76,6,0)))</f>
        <v>ЮФО</v>
      </c>
      <c r="G27" s="302" t="str">
        <f>IF(C27=0,"",(VLOOKUP($C27,'Пр.взв'!$D$6:$M$76,8,0)))</f>
        <v>Краснодарский</v>
      </c>
      <c r="H27" s="304" t="str">
        <f>IF(C27=0,"", IF(C28=0,"СВОБОДЕН",""))</f>
        <v/>
      </c>
      <c r="I27" s="304"/>
      <c r="J27" s="304"/>
      <c r="K27" s="305"/>
      <c r="L27" s="361"/>
      <c r="M27" s="361">
        <f>IFERROR(__xludf.DUMMYFUNCTION("""COMPUTED_VALUE"""),13.5)</f>
        <v>13.5</v>
      </c>
      <c r="N27" s="352"/>
      <c r="O27" s="302" t="str">
        <f>IFERROR(__xludf.DUMMYFUNCTION("""COMPUTED_VALUE"""),"")</f>
        <v/>
      </c>
      <c r="P27" s="302" t="str">
        <f>IFERROR(__xludf.DUMMYFUNCTION("""COMPUTED_VALUE"""),"")</f>
        <v/>
      </c>
      <c r="Q27" s="302" t="str">
        <f>IFERROR(__xludf.DUMMYFUNCTION("""COMPUTED_VALUE"""),"")</f>
        <v/>
      </c>
      <c r="R27" s="302" t="str">
        <f>IFERROR(__xludf.DUMMYFUNCTION("""COMPUTED_VALUE"""),"")</f>
        <v/>
      </c>
      <c r="S27" s="304" t="str">
        <f>IFERROR(__xludf.DUMMYFUNCTION("""COMPUTED_VALUE"""),"")</f>
        <v/>
      </c>
      <c r="T27" s="304"/>
      <c r="U27" s="304"/>
      <c r="V27" s="305"/>
      <c r="W27" s="355"/>
      <c r="X27" s="352"/>
      <c r="Y27" s="302"/>
      <c r="Z27" s="302"/>
      <c r="AA27" s="302"/>
      <c r="AB27" s="302"/>
      <c r="AC27" s="304"/>
      <c r="AD27" s="304"/>
      <c r="AE27" s="304"/>
      <c r="AF27" s="305"/>
      <c r="AG27" s="355"/>
      <c r="AH27" s="352">
        <f>IFERROR(__xludf.DUMMYFUNCTION("""COMPUTED_VALUE"""),22.0)</f>
        <v>22</v>
      </c>
      <c r="AI27" s="302" t="str">
        <f>IF($AH27=0,"",(VLOOKUP($AH27,'Пр.взв'!$D$6:$J$71,2,0)))</f>
        <v>ЗУЕВА Наталья </v>
      </c>
      <c r="AJ27" s="302" t="str">
        <f>IF($AH27=0,"",(VLOOKUP($AH27,'Пр.взв'!$D$6:$J$71,5,0)))</f>
        <v>КМС</v>
      </c>
      <c r="AK27" s="302" t="str">
        <f>IF($AH27=0,"",(VLOOKUP($AH27,'Пр.взв'!$D$6:$J$71,6,0)))</f>
        <v>ЮФО</v>
      </c>
      <c r="AL27" s="302" t="str">
        <f>IF($AH27=0,"",(VLOOKUP($AH27,'Пр.взв'!$D$6:$M$71,8,0)))</f>
        <v>Краснодарский</v>
      </c>
      <c r="AM27" s="304" t="str">
        <f>IF(AH27=0,"", IF(AH28=0,"СВОБОДЕН",""))</f>
        <v/>
      </c>
      <c r="AN27" s="304"/>
      <c r="AO27" s="304"/>
      <c r="AP27" s="305"/>
    </row>
    <row r="28" ht="27.75" customHeight="1">
      <c r="A28" s="361">
        <v>24.0</v>
      </c>
      <c r="B28" s="351">
        <f t="shared" si="1"/>
        <v>24</v>
      </c>
      <c r="C28" s="356">
        <f>IFERROR(__xludf.DUMMYFUNCTION("""COMPUTED_VALUE"""),24.0)</f>
        <v>24</v>
      </c>
      <c r="D28" s="307" t="str">
        <f>IF(C28=0,"",(VLOOKUP($C28,'Пр.взв'!$D$6:$J$76,2,0)))</f>
        <v>БУРДИНА Анастасия</v>
      </c>
      <c r="E28" s="307" t="str">
        <f>IF(C28=0,"",(VLOOKUP($C28,'Пр.взв'!$D$6:$J$76,5,0)))</f>
        <v>КМС</v>
      </c>
      <c r="F28" s="307" t="str">
        <f>IF(C28=0,"",(VLOOKUP($C28,'Пр.взв'!$D$6:$M$76,6,0)))</f>
        <v>ПФО</v>
      </c>
      <c r="G28" s="307" t="str">
        <f>IF(C28=0,"",(VLOOKUP($C28,'Пр.взв'!$D$6:$M$76,8,0)))</f>
        <v>Пермский</v>
      </c>
      <c r="H28" s="309"/>
      <c r="I28" s="309"/>
      <c r="J28" s="309"/>
      <c r="K28" s="310"/>
      <c r="L28" s="361"/>
      <c r="M28" s="361">
        <f>IFERROR(__xludf.DUMMYFUNCTION("""COMPUTED_VALUE"""),13.5)</f>
        <v>13.5</v>
      </c>
      <c r="N28" s="356"/>
      <c r="O28" s="307" t="str">
        <f>IFERROR(__xludf.DUMMYFUNCTION("""COMPUTED_VALUE"""),"")</f>
        <v/>
      </c>
      <c r="P28" s="307" t="str">
        <f>IFERROR(__xludf.DUMMYFUNCTION("""COMPUTED_VALUE"""),"")</f>
        <v/>
      </c>
      <c r="Q28" s="307" t="str">
        <f>IFERROR(__xludf.DUMMYFUNCTION("""COMPUTED_VALUE"""),"")</f>
        <v/>
      </c>
      <c r="R28" s="307" t="str">
        <f>IFERROR(__xludf.DUMMYFUNCTION("""COMPUTED_VALUE"""),"")</f>
        <v/>
      </c>
      <c r="S28" s="309"/>
      <c r="T28" s="309"/>
      <c r="U28" s="309"/>
      <c r="V28" s="310"/>
      <c r="W28" s="355"/>
      <c r="X28" s="356"/>
      <c r="Y28" s="307"/>
      <c r="Z28" s="307"/>
      <c r="AA28" s="307"/>
      <c r="AB28" s="307"/>
      <c r="AC28" s="309"/>
      <c r="AD28" s="309"/>
      <c r="AE28" s="309"/>
      <c r="AF28" s="310"/>
      <c r="AG28" s="355"/>
      <c r="AH28" s="356">
        <f>IFERROR(__xludf.DUMMYFUNCTION("""COMPUTED_VALUE"""),24.0)</f>
        <v>24</v>
      </c>
      <c r="AI28" s="307" t="str">
        <f>IF($AH28=0,"",(VLOOKUP($AH28,'Пр.взв'!$D$6:$J$71,2,0)))</f>
        <v>БУРДИНА Анастасия</v>
      </c>
      <c r="AJ28" s="307" t="str">
        <f>IF($AH28=0,"",(VLOOKUP($AH28,'Пр.взв'!$D$6:$J$71,5,0)))</f>
        <v>КМС</v>
      </c>
      <c r="AK28" s="307" t="str">
        <f>IF($AH28=0,"",(VLOOKUP($AH28,'Пр.взв'!$D$6:$J$71,6,0)))</f>
        <v>ПФО</v>
      </c>
      <c r="AL28" s="307" t="str">
        <f>IF($AH28=0,"",(VLOOKUP($AH28,'Пр.взв'!$D$6:$M$71,8,0)))</f>
        <v>Пермский</v>
      </c>
      <c r="AM28" s="309"/>
      <c r="AN28" s="309"/>
      <c r="AO28" s="309"/>
      <c r="AP28" s="310"/>
    </row>
    <row r="29" ht="27.75" customHeight="1">
      <c r="A29" s="361">
        <v>25.0</v>
      </c>
      <c r="B29" s="348">
        <f t="shared" si="1"/>
        <v>13.5</v>
      </c>
      <c r="C29" s="352"/>
      <c r="D29" s="302" t="str">
        <f>IF(C29=0,"",(VLOOKUP($C29,'Пр.взв'!$D$6:$J$76,2,0)))</f>
        <v/>
      </c>
      <c r="E29" s="302" t="str">
        <f>IF(C29=0,"",(VLOOKUP($C29,'Пр.взв'!$D$6:$J$76,5,0)))</f>
        <v/>
      </c>
      <c r="F29" s="302" t="str">
        <f>IF(C29=0,"",(VLOOKUP($C29,'Пр.взв'!$D$6:$M$76,6,0)))</f>
        <v/>
      </c>
      <c r="G29" s="302" t="str">
        <f>IF(C29=0,"",(VLOOKUP($C29,'Пр.взв'!$D$6:$M$76,8,0)))</f>
        <v/>
      </c>
      <c r="H29" s="304" t="str">
        <f>IF(C29=0,"", IF(C30=0,"СВОБОДЕН",""))</f>
        <v/>
      </c>
      <c r="I29" s="304"/>
      <c r="J29" s="304"/>
      <c r="K29" s="305"/>
      <c r="L29" s="361"/>
      <c r="M29" s="361">
        <f>IFERROR(__xludf.DUMMYFUNCTION("""COMPUTED_VALUE"""),13.5)</f>
        <v>13.5</v>
      </c>
      <c r="N29" s="352"/>
      <c r="O29" s="302" t="str">
        <f>IFERROR(__xludf.DUMMYFUNCTION("""COMPUTED_VALUE"""),"")</f>
        <v/>
      </c>
      <c r="P29" s="302" t="str">
        <f>IFERROR(__xludf.DUMMYFUNCTION("""COMPUTED_VALUE"""),"")</f>
        <v/>
      </c>
      <c r="Q29" s="302" t="str">
        <f>IFERROR(__xludf.DUMMYFUNCTION("""COMPUTED_VALUE"""),"")</f>
        <v/>
      </c>
      <c r="R29" s="302" t="str">
        <f>IFERROR(__xludf.DUMMYFUNCTION("""COMPUTED_VALUE"""),"")</f>
        <v/>
      </c>
      <c r="S29" s="304" t="str">
        <f>IFERROR(__xludf.DUMMYFUNCTION("""COMPUTED_VALUE"""),"")</f>
        <v/>
      </c>
      <c r="T29" s="304"/>
      <c r="U29" s="304"/>
      <c r="V29" s="305"/>
      <c r="W29" s="355"/>
      <c r="X29" s="352"/>
      <c r="Y29" s="302"/>
      <c r="Z29" s="302"/>
      <c r="AA29" s="302"/>
      <c r="AB29" s="302"/>
      <c r="AC29" s="304"/>
      <c r="AD29" s="304"/>
      <c r="AE29" s="304"/>
      <c r="AF29" s="305"/>
      <c r="AG29" s="355"/>
      <c r="AH29" s="352"/>
      <c r="AI29" s="302" t="str">
        <f>IF($AH29=0,"",(VLOOKUP($AH29,'Пр.взв'!$D$6:$J$71,2,0)))</f>
        <v/>
      </c>
      <c r="AJ29" s="302" t="str">
        <f>IF($AH29=0,"",(VLOOKUP($AH29,'Пр.взв'!$D$6:$J$71,5,0)))</f>
        <v/>
      </c>
      <c r="AK29" s="302" t="str">
        <f>IF($AH29=0,"",(VLOOKUP($AH29,'Пр.взв'!$D$6:$J$71,6,0)))</f>
        <v/>
      </c>
      <c r="AL29" s="302" t="str">
        <f>IF($AH29=0,"",(VLOOKUP($AH29,'Пр.взв'!$D$6:$M$71,8,0)))</f>
        <v/>
      </c>
      <c r="AM29" s="304" t="str">
        <f>IF(AH29=0,"", IF(AH30=0,"СВОБОДЕН",""))</f>
        <v/>
      </c>
      <c r="AN29" s="304"/>
      <c r="AO29" s="304"/>
      <c r="AP29" s="305"/>
    </row>
    <row r="30" ht="27.75" customHeight="1">
      <c r="A30" s="361">
        <v>26.0</v>
      </c>
      <c r="B30" s="348">
        <f t="shared" si="1"/>
        <v>13.5</v>
      </c>
      <c r="C30" s="356"/>
      <c r="D30" s="307" t="str">
        <f>IF(C30=0,"",(VLOOKUP($C30,'Пр.взв'!$D$6:$J$76,2,0)))</f>
        <v/>
      </c>
      <c r="E30" s="307" t="str">
        <f>IF(C30=0,"",(VLOOKUP($C30,'Пр.взв'!$D$6:$J$76,5,0)))</f>
        <v/>
      </c>
      <c r="F30" s="307" t="str">
        <f>IF(C30=0,"",(VLOOKUP($C30,'Пр.взв'!$D$6:$M$76,6,0)))</f>
        <v/>
      </c>
      <c r="G30" s="307" t="str">
        <f>IF(C30=0,"",(VLOOKUP($C30,'Пр.взв'!$D$6:$M$76,8,0)))</f>
        <v/>
      </c>
      <c r="H30" s="309"/>
      <c r="I30" s="309"/>
      <c r="J30" s="309"/>
      <c r="K30" s="310"/>
      <c r="L30" s="361"/>
      <c r="M30" s="361">
        <f>IFERROR(__xludf.DUMMYFUNCTION("""COMPUTED_VALUE"""),13.5)</f>
        <v>13.5</v>
      </c>
      <c r="N30" s="356"/>
      <c r="O30" s="307" t="str">
        <f>IFERROR(__xludf.DUMMYFUNCTION("""COMPUTED_VALUE"""),"")</f>
        <v/>
      </c>
      <c r="P30" s="307" t="str">
        <f>IFERROR(__xludf.DUMMYFUNCTION("""COMPUTED_VALUE"""),"")</f>
        <v/>
      </c>
      <c r="Q30" s="307" t="str">
        <f>IFERROR(__xludf.DUMMYFUNCTION("""COMPUTED_VALUE"""),"")</f>
        <v/>
      </c>
      <c r="R30" s="307" t="str">
        <f>IFERROR(__xludf.DUMMYFUNCTION("""COMPUTED_VALUE"""),"")</f>
        <v/>
      </c>
      <c r="S30" s="309"/>
      <c r="T30" s="309"/>
      <c r="U30" s="309"/>
      <c r="V30" s="310"/>
      <c r="W30" s="355"/>
      <c r="X30" s="356"/>
      <c r="Y30" s="307"/>
      <c r="Z30" s="307"/>
      <c r="AA30" s="307"/>
      <c r="AB30" s="307"/>
      <c r="AC30" s="309"/>
      <c r="AD30" s="309"/>
      <c r="AE30" s="309"/>
      <c r="AF30" s="310"/>
      <c r="AG30" s="355"/>
      <c r="AH30" s="356"/>
      <c r="AI30" s="307" t="str">
        <f>IF($AH30=0,"",(VLOOKUP($AH30,'Пр.взв'!$D$6:$J$71,2,0)))</f>
        <v/>
      </c>
      <c r="AJ30" s="307" t="str">
        <f>IF($AH30=0,"",(VLOOKUP($AH30,'Пр.взв'!$D$6:$J$71,5,0)))</f>
        <v/>
      </c>
      <c r="AK30" s="307" t="str">
        <f>IF($AH30=0,"",(VLOOKUP($AH30,'Пр.взв'!$D$6:$J$71,6,0)))</f>
        <v/>
      </c>
      <c r="AL30" s="307" t="str">
        <f>IF($AH30=0,"",(VLOOKUP($AH30,'Пр.взв'!$D$6:$M$71,8,0)))</f>
        <v/>
      </c>
      <c r="AM30" s="309"/>
      <c r="AN30" s="309"/>
      <c r="AO30" s="309"/>
      <c r="AP30" s="310"/>
    </row>
    <row r="31" ht="27.75" customHeight="1">
      <c r="A31" s="361">
        <v>27.0</v>
      </c>
      <c r="B31" s="348">
        <f t="shared" si="1"/>
        <v>13.5</v>
      </c>
      <c r="C31" s="352"/>
      <c r="D31" s="302" t="str">
        <f>IF(C31=0,"",(VLOOKUP($C31,'Пр.взв'!$D$6:$J$76,2,0)))</f>
        <v/>
      </c>
      <c r="E31" s="302" t="str">
        <f>IF(C31=0,"",(VLOOKUP($C31,'Пр.взв'!$D$6:$J$76,5,0)))</f>
        <v/>
      </c>
      <c r="F31" s="302" t="str">
        <f>IF(C31=0,"",(VLOOKUP($C31,'Пр.взв'!$D$6:$M$76,6,0)))</f>
        <v/>
      </c>
      <c r="G31" s="302" t="str">
        <f>IF(C31=0,"",(VLOOKUP($C31,'Пр.взв'!$D$6:$M$76,8,0)))</f>
        <v/>
      </c>
      <c r="H31" s="304" t="str">
        <f>IF(C31=0,"", IF(C32=0,"СВОБОДЕН",""))</f>
        <v/>
      </c>
      <c r="I31" s="304"/>
      <c r="J31" s="304"/>
      <c r="K31" s="305"/>
      <c r="L31" s="361"/>
      <c r="M31" s="361">
        <f>IFERROR(__xludf.DUMMYFUNCTION("""COMPUTED_VALUE"""),13.5)</f>
        <v>13.5</v>
      </c>
      <c r="N31" s="352"/>
      <c r="O31" s="302" t="str">
        <f>IFERROR(__xludf.DUMMYFUNCTION("""COMPUTED_VALUE"""),"")</f>
        <v/>
      </c>
      <c r="P31" s="302" t="str">
        <f>IFERROR(__xludf.DUMMYFUNCTION("""COMPUTED_VALUE"""),"")</f>
        <v/>
      </c>
      <c r="Q31" s="302" t="str">
        <f>IFERROR(__xludf.DUMMYFUNCTION("""COMPUTED_VALUE"""),"")</f>
        <v/>
      </c>
      <c r="R31" s="302" t="str">
        <f>IFERROR(__xludf.DUMMYFUNCTION("""COMPUTED_VALUE"""),"")</f>
        <v/>
      </c>
      <c r="S31" s="304" t="str">
        <f>IFERROR(__xludf.DUMMYFUNCTION("""COMPUTED_VALUE"""),"")</f>
        <v/>
      </c>
      <c r="T31" s="304"/>
      <c r="U31" s="304"/>
      <c r="V31" s="305"/>
      <c r="W31" s="355"/>
      <c r="X31" s="352"/>
      <c r="Y31" s="302"/>
      <c r="Z31" s="302"/>
      <c r="AA31" s="302"/>
      <c r="AB31" s="302"/>
      <c r="AC31" s="304"/>
      <c r="AD31" s="304"/>
      <c r="AE31" s="304"/>
      <c r="AF31" s="305"/>
      <c r="AG31" s="355"/>
      <c r="AH31" s="352"/>
      <c r="AI31" s="302" t="str">
        <f>IF($AH31=0,"",(VLOOKUP($AH31,'Пр.взв'!$D$6:$J$71,2,0)))</f>
        <v/>
      </c>
      <c r="AJ31" s="302" t="str">
        <f>IF($AH31=0,"",(VLOOKUP($AH31,'Пр.взв'!$D$6:$J$71,5,0)))</f>
        <v/>
      </c>
      <c r="AK31" s="302" t="str">
        <f>IF($AH31=0,"",(VLOOKUP($AH31,'Пр.взв'!$D$6:$J$71,6,0)))</f>
        <v/>
      </c>
      <c r="AL31" s="302" t="str">
        <f>IF($AH31=0,"",(VLOOKUP($AH31,'Пр.взв'!$D$6:$M$71,8,0)))</f>
        <v/>
      </c>
      <c r="AM31" s="304" t="str">
        <f>IF(AH31=0,"", IF(AH32=0,"СВОБОДЕН",""))</f>
        <v/>
      </c>
      <c r="AN31" s="304"/>
      <c r="AO31" s="304"/>
      <c r="AP31" s="305"/>
    </row>
    <row r="32" ht="27.75" customHeight="1">
      <c r="A32" s="361">
        <v>28.0</v>
      </c>
      <c r="B32" s="348">
        <f t="shared" si="1"/>
        <v>13.5</v>
      </c>
      <c r="C32" s="356"/>
      <c r="D32" s="307" t="str">
        <f>IF(C32=0,"",(VLOOKUP($C32,'Пр.взв'!$D$6:$J$76,2,0)))</f>
        <v/>
      </c>
      <c r="E32" s="307" t="str">
        <f>IF(C32=0,"",(VLOOKUP($C32,'Пр.взв'!$D$6:$J$76,5,0)))</f>
        <v/>
      </c>
      <c r="F32" s="307" t="str">
        <f>IF(C32=0,"",(VLOOKUP($C32,'Пр.взв'!$D$6:$M$76,6,0)))</f>
        <v/>
      </c>
      <c r="G32" s="307" t="str">
        <f>IF(C32=0,"",(VLOOKUP($C32,'Пр.взв'!$D$6:$M$76,8,0)))</f>
        <v/>
      </c>
      <c r="H32" s="309"/>
      <c r="I32" s="309"/>
      <c r="J32" s="309"/>
      <c r="K32" s="310"/>
      <c r="L32" s="361"/>
      <c r="M32" s="361">
        <f>IFERROR(__xludf.DUMMYFUNCTION("""COMPUTED_VALUE"""),13.5)</f>
        <v>13.5</v>
      </c>
      <c r="N32" s="356"/>
      <c r="O32" s="307" t="str">
        <f>IFERROR(__xludf.DUMMYFUNCTION("""COMPUTED_VALUE"""),"")</f>
        <v/>
      </c>
      <c r="P32" s="307" t="str">
        <f>IFERROR(__xludf.DUMMYFUNCTION("""COMPUTED_VALUE"""),"")</f>
        <v/>
      </c>
      <c r="Q32" s="307" t="str">
        <f>IFERROR(__xludf.DUMMYFUNCTION("""COMPUTED_VALUE"""),"")</f>
        <v/>
      </c>
      <c r="R32" s="307" t="str">
        <f>IFERROR(__xludf.DUMMYFUNCTION("""COMPUTED_VALUE"""),"")</f>
        <v/>
      </c>
      <c r="S32" s="309"/>
      <c r="T32" s="309"/>
      <c r="U32" s="309"/>
      <c r="V32" s="310"/>
      <c r="W32" s="355"/>
      <c r="X32" s="356"/>
      <c r="Y32" s="307"/>
      <c r="Z32" s="307"/>
      <c r="AA32" s="307"/>
      <c r="AB32" s="307"/>
      <c r="AC32" s="309"/>
      <c r="AD32" s="309"/>
      <c r="AE32" s="309"/>
      <c r="AF32" s="310"/>
      <c r="AG32" s="355"/>
      <c r="AH32" s="356"/>
      <c r="AI32" s="307" t="str">
        <f>IF($AH32=0,"",(VLOOKUP($AH32,'Пр.взв'!$D$6:$J$71,2,0)))</f>
        <v/>
      </c>
      <c r="AJ32" s="307" t="str">
        <f>IF($AH32=0,"",(VLOOKUP($AH32,'Пр.взв'!$D$6:$J$71,5,0)))</f>
        <v/>
      </c>
      <c r="AK32" s="307" t="str">
        <f>IF($AH32=0,"",(VLOOKUP($AH32,'Пр.взв'!$D$6:$J$71,6,0)))</f>
        <v/>
      </c>
      <c r="AL32" s="307" t="str">
        <f>IF($AH32=0,"",(VLOOKUP($AH32,'Пр.взв'!$D$6:$M$71,8,0)))</f>
        <v/>
      </c>
      <c r="AM32" s="309"/>
      <c r="AN32" s="309"/>
      <c r="AO32" s="309"/>
      <c r="AP32" s="310"/>
    </row>
    <row r="33" ht="27.75" customHeight="1">
      <c r="A33" s="361">
        <v>29.0</v>
      </c>
      <c r="B33" s="348">
        <f t="shared" si="1"/>
        <v>13.5</v>
      </c>
      <c r="C33" s="352"/>
      <c r="D33" s="302" t="str">
        <f>IF(C33=0,"",(VLOOKUP($C33,'Пр.взв'!$D$6:$J$76,2,0)))</f>
        <v/>
      </c>
      <c r="E33" s="302" t="str">
        <f>IF(C33=0,"",(VLOOKUP($C33,'Пр.взв'!$D$6:$J$76,5,0)))</f>
        <v/>
      </c>
      <c r="F33" s="302" t="str">
        <f>IF(C33=0,"",(VLOOKUP($C33,'Пр.взв'!$D$6:$M$76,6,0)))</f>
        <v/>
      </c>
      <c r="G33" s="302" t="str">
        <f>IF(C33=0,"",(VLOOKUP($C33,'Пр.взв'!$D$6:$M$76,8,0)))</f>
        <v/>
      </c>
      <c r="H33" s="304" t="str">
        <f>IF(C33=0,"", IF(C34=0,"СВОБОДЕН",""))</f>
        <v/>
      </c>
      <c r="I33" s="304"/>
      <c r="J33" s="304"/>
      <c r="K33" s="305"/>
      <c r="L33" s="361"/>
      <c r="M33" s="361">
        <f>IFERROR(__xludf.DUMMYFUNCTION("""COMPUTED_VALUE"""),13.5)</f>
        <v>13.5</v>
      </c>
      <c r="N33" s="352"/>
      <c r="O33" s="302" t="str">
        <f>IFERROR(__xludf.DUMMYFUNCTION("""COMPUTED_VALUE"""),"")</f>
        <v/>
      </c>
      <c r="P33" s="302" t="str">
        <f>IFERROR(__xludf.DUMMYFUNCTION("""COMPUTED_VALUE"""),"")</f>
        <v/>
      </c>
      <c r="Q33" s="302" t="str">
        <f>IFERROR(__xludf.DUMMYFUNCTION("""COMPUTED_VALUE"""),"")</f>
        <v/>
      </c>
      <c r="R33" s="302" t="str">
        <f>IFERROR(__xludf.DUMMYFUNCTION("""COMPUTED_VALUE"""),"")</f>
        <v/>
      </c>
      <c r="S33" s="304" t="str">
        <f>IFERROR(__xludf.DUMMYFUNCTION("""COMPUTED_VALUE"""),"")</f>
        <v/>
      </c>
      <c r="T33" s="304"/>
      <c r="U33" s="304"/>
      <c r="V33" s="305"/>
      <c r="W33" s="355"/>
      <c r="X33" s="352"/>
      <c r="Y33" s="302"/>
      <c r="Z33" s="302"/>
      <c r="AA33" s="302"/>
      <c r="AB33" s="302"/>
      <c r="AC33" s="304"/>
      <c r="AD33" s="304"/>
      <c r="AE33" s="304"/>
      <c r="AF33" s="305"/>
      <c r="AG33" s="355"/>
      <c r="AH33" s="352"/>
      <c r="AI33" s="302" t="str">
        <f>IF($AH33=0,"",(VLOOKUP($AH33,'Пр.взв'!$D$6:$J$71,2,0)))</f>
        <v/>
      </c>
      <c r="AJ33" s="302" t="str">
        <f>IF($AH33=0,"",(VLOOKUP($AH33,'Пр.взв'!$D$6:$J$71,5,0)))</f>
        <v/>
      </c>
      <c r="AK33" s="302" t="str">
        <f>IF($AH33=0,"",(VLOOKUP($AH33,'Пр.взв'!$D$6:$J$71,6,0)))</f>
        <v/>
      </c>
      <c r="AL33" s="302" t="str">
        <f>IF($AH33=0,"",(VLOOKUP($AH33,'Пр.взв'!$D$6:$M$71,8,0)))</f>
        <v/>
      </c>
      <c r="AM33" s="304" t="str">
        <f>IF(AH33=0,"", IF(AH34=0,"СВОБОДЕН",""))</f>
        <v/>
      </c>
      <c r="AN33" s="304"/>
      <c r="AO33" s="304"/>
      <c r="AP33" s="305"/>
    </row>
    <row r="34" ht="27.75" customHeight="1">
      <c r="A34" s="361">
        <v>30.0</v>
      </c>
      <c r="B34" s="348">
        <f t="shared" si="1"/>
        <v>13.5</v>
      </c>
      <c r="C34" s="356"/>
      <c r="D34" s="307" t="str">
        <f>IF(C34=0,"",(VLOOKUP($C34,'Пр.взв'!$D$6:$J$76,2,0)))</f>
        <v/>
      </c>
      <c r="E34" s="307" t="str">
        <f>IF(C34=0,"",(VLOOKUP($C34,'Пр.взв'!$D$6:$J$76,5,0)))</f>
        <v/>
      </c>
      <c r="F34" s="307" t="str">
        <f>IF(C34=0,"",(VLOOKUP($C34,'Пр.взв'!$D$6:$M$76,6,0)))</f>
        <v/>
      </c>
      <c r="G34" s="307" t="str">
        <f>IF(C34=0,"",(VLOOKUP($C34,'Пр.взв'!$D$6:$M$76,8,0)))</f>
        <v/>
      </c>
      <c r="H34" s="309"/>
      <c r="I34" s="309"/>
      <c r="J34" s="309"/>
      <c r="K34" s="310"/>
      <c r="L34" s="361"/>
      <c r="M34" s="361">
        <f>IFERROR(__xludf.DUMMYFUNCTION("""COMPUTED_VALUE"""),13.5)</f>
        <v>13.5</v>
      </c>
      <c r="N34" s="356"/>
      <c r="O34" s="307" t="str">
        <f>IFERROR(__xludf.DUMMYFUNCTION("""COMPUTED_VALUE"""),"")</f>
        <v/>
      </c>
      <c r="P34" s="307" t="str">
        <f>IFERROR(__xludf.DUMMYFUNCTION("""COMPUTED_VALUE"""),"")</f>
        <v/>
      </c>
      <c r="Q34" s="307" t="str">
        <f>IFERROR(__xludf.DUMMYFUNCTION("""COMPUTED_VALUE"""),"")</f>
        <v/>
      </c>
      <c r="R34" s="307" t="str">
        <f>IFERROR(__xludf.DUMMYFUNCTION("""COMPUTED_VALUE"""),"")</f>
        <v/>
      </c>
      <c r="S34" s="309"/>
      <c r="T34" s="309"/>
      <c r="U34" s="309"/>
      <c r="V34" s="310"/>
      <c r="W34" s="355"/>
      <c r="X34" s="356"/>
      <c r="Y34" s="307"/>
      <c r="Z34" s="307"/>
      <c r="AA34" s="307"/>
      <c r="AB34" s="307"/>
      <c r="AC34" s="309"/>
      <c r="AD34" s="309"/>
      <c r="AE34" s="309"/>
      <c r="AF34" s="310"/>
      <c r="AG34" s="355"/>
      <c r="AH34" s="356"/>
      <c r="AI34" s="307" t="str">
        <f>IF($AH34=0,"",(VLOOKUP($AH34,'Пр.взв'!$D$6:$J$71,2,0)))</f>
        <v/>
      </c>
      <c r="AJ34" s="307" t="str">
        <f>IF($AH34=0,"",(VLOOKUP($AH34,'Пр.взв'!$D$6:$J$71,5,0)))</f>
        <v/>
      </c>
      <c r="AK34" s="307" t="str">
        <f>IF($AH34=0,"",(VLOOKUP($AH34,'Пр.взв'!$D$6:$J$71,6,0)))</f>
        <v/>
      </c>
      <c r="AL34" s="307" t="str">
        <f>IF($AH34=0,"",(VLOOKUP($AH34,'Пр.взв'!$D$6:$M$71,8,0)))</f>
        <v/>
      </c>
      <c r="AM34" s="309"/>
      <c r="AN34" s="309"/>
      <c r="AO34" s="309"/>
      <c r="AP34" s="310"/>
    </row>
    <row r="35" ht="27.75" customHeight="1">
      <c r="A35" s="361">
        <v>31.0</v>
      </c>
      <c r="B35" s="348">
        <f t="shared" si="1"/>
        <v>13.5</v>
      </c>
      <c r="C35" s="352"/>
      <c r="D35" s="302" t="str">
        <f>IF(C35=0,"",(VLOOKUP($C35,'Пр.взв'!$D$6:$J$76,2,0)))</f>
        <v/>
      </c>
      <c r="E35" s="302" t="str">
        <f>IF(C35=0,"",(VLOOKUP($C35,'Пр.взв'!$D$6:$J$76,5,0)))</f>
        <v/>
      </c>
      <c r="F35" s="302" t="str">
        <f>IF(C35=0,"",(VLOOKUP($C35,'Пр.взв'!$D$6:$M$76,6,0)))</f>
        <v/>
      </c>
      <c r="G35" s="302" t="str">
        <f>IF(C35=0,"",(VLOOKUP($C35,'Пр.взв'!$D$6:$M$76,8,0)))</f>
        <v/>
      </c>
      <c r="H35" s="304" t="str">
        <f>IF(C35=0,"", IF(C36=0,"СВОБОДЕН",""))</f>
        <v/>
      </c>
      <c r="I35" s="304"/>
      <c r="J35" s="304"/>
      <c r="K35" s="305"/>
      <c r="L35" s="361"/>
      <c r="M35" s="361">
        <f>IFERROR(__xludf.DUMMYFUNCTION("""COMPUTED_VALUE"""),13.5)</f>
        <v>13.5</v>
      </c>
      <c r="N35" s="352"/>
      <c r="O35" s="302" t="str">
        <f>IFERROR(__xludf.DUMMYFUNCTION("""COMPUTED_VALUE"""),"")</f>
        <v/>
      </c>
      <c r="P35" s="302" t="str">
        <f>IFERROR(__xludf.DUMMYFUNCTION("""COMPUTED_VALUE"""),"")</f>
        <v/>
      </c>
      <c r="Q35" s="302" t="str">
        <f>IFERROR(__xludf.DUMMYFUNCTION("""COMPUTED_VALUE"""),"")</f>
        <v/>
      </c>
      <c r="R35" s="302" t="str">
        <f>IFERROR(__xludf.DUMMYFUNCTION("""COMPUTED_VALUE"""),"")</f>
        <v/>
      </c>
      <c r="S35" s="304" t="str">
        <f>IFERROR(__xludf.DUMMYFUNCTION("""COMPUTED_VALUE"""),"")</f>
        <v/>
      </c>
      <c r="T35" s="304"/>
      <c r="U35" s="304"/>
      <c r="V35" s="305"/>
      <c r="W35" s="355"/>
      <c r="X35" s="352"/>
      <c r="Y35" s="302"/>
      <c r="Z35" s="302"/>
      <c r="AA35" s="302"/>
      <c r="AB35" s="302"/>
      <c r="AC35" s="304"/>
      <c r="AD35" s="304"/>
      <c r="AE35" s="304"/>
      <c r="AF35" s="305"/>
      <c r="AG35" s="355"/>
      <c r="AH35" s="352"/>
      <c r="AI35" s="302" t="str">
        <f>IF($AH35=0,"",(VLOOKUP($AH35,'Пр.взв'!$D$6:$J$71,2,0)))</f>
        <v/>
      </c>
      <c r="AJ35" s="302" t="str">
        <f>IF($AH35=0,"",(VLOOKUP($AH35,'Пр.взв'!$D$6:$J$71,5,0)))</f>
        <v/>
      </c>
      <c r="AK35" s="302" t="str">
        <f>IF($AH35=0,"",(VLOOKUP($AH35,'Пр.взв'!$D$6:$J$71,6,0)))</f>
        <v/>
      </c>
      <c r="AL35" s="302" t="str">
        <f>IF($AH35=0,"",(VLOOKUP($AH35,'Пр.взв'!$D$6:$M$71,8,0)))</f>
        <v/>
      </c>
      <c r="AM35" s="304" t="str">
        <f>IF(AH35=0,"", IF(AH36=0,"СВОБОДЕН",""))</f>
        <v/>
      </c>
      <c r="AN35" s="304"/>
      <c r="AO35" s="304"/>
      <c r="AP35" s="305"/>
    </row>
    <row r="36" ht="27.75" customHeight="1">
      <c r="A36" s="361">
        <v>32.0</v>
      </c>
      <c r="B36" s="348">
        <f t="shared" si="1"/>
        <v>13.5</v>
      </c>
      <c r="C36" s="356"/>
      <c r="D36" s="307" t="str">
        <f>IF(C36=0,"",(VLOOKUP($C36,'Пр.взв'!$D$6:$J$76,2,0)))</f>
        <v/>
      </c>
      <c r="E36" s="307" t="str">
        <f>IF(C36=0,"",(VLOOKUP($C36,'Пр.взв'!$D$6:$J$76,5,0)))</f>
        <v/>
      </c>
      <c r="F36" s="307" t="str">
        <f>IF(C36=0,"",(VLOOKUP($C36,'Пр.взв'!$D$6:$M$76,6,0)))</f>
        <v/>
      </c>
      <c r="G36" s="307" t="str">
        <f>IF(C36=0,"",(VLOOKUP($C36,'Пр.взв'!$D$6:$M$76,8,0)))</f>
        <v/>
      </c>
      <c r="H36" s="309"/>
      <c r="I36" s="309"/>
      <c r="J36" s="309"/>
      <c r="K36" s="310"/>
      <c r="L36" s="361"/>
      <c r="M36" s="361">
        <f>IFERROR(__xludf.DUMMYFUNCTION("""COMPUTED_VALUE"""),13.5)</f>
        <v>13.5</v>
      </c>
      <c r="N36" s="356"/>
      <c r="O36" s="307" t="str">
        <f>IFERROR(__xludf.DUMMYFUNCTION("""COMPUTED_VALUE"""),"")</f>
        <v/>
      </c>
      <c r="P36" s="307" t="str">
        <f>IFERROR(__xludf.DUMMYFUNCTION("""COMPUTED_VALUE"""),"")</f>
        <v/>
      </c>
      <c r="Q36" s="307" t="str">
        <f>IFERROR(__xludf.DUMMYFUNCTION("""COMPUTED_VALUE"""),"")</f>
        <v/>
      </c>
      <c r="R36" s="307" t="str">
        <f>IFERROR(__xludf.DUMMYFUNCTION("""COMPUTED_VALUE"""),"")</f>
        <v/>
      </c>
      <c r="S36" s="309"/>
      <c r="T36" s="309"/>
      <c r="U36" s="309"/>
      <c r="V36" s="310"/>
      <c r="W36" s="355"/>
      <c r="X36" s="356"/>
      <c r="Y36" s="307"/>
      <c r="Z36" s="307"/>
      <c r="AA36" s="307"/>
      <c r="AB36" s="307"/>
      <c r="AC36" s="309"/>
      <c r="AD36" s="309"/>
      <c r="AE36" s="309"/>
      <c r="AF36" s="310"/>
      <c r="AG36" s="355"/>
      <c r="AH36" s="356"/>
      <c r="AI36" s="307" t="str">
        <f>IF($AH36=0,"",(VLOOKUP($AH36,'Пр.взв'!$D$6:$J$71,2,0)))</f>
        <v/>
      </c>
      <c r="AJ36" s="307" t="str">
        <f>IF($AH36=0,"",(VLOOKUP($AH36,'Пр.взв'!$D$6:$J$71,5,0)))</f>
        <v/>
      </c>
      <c r="AK36" s="307" t="str">
        <f>IF($AH36=0,"",(VLOOKUP($AH36,'Пр.взв'!$D$6:$J$71,6,0)))</f>
        <v/>
      </c>
      <c r="AL36" s="307" t="str">
        <f>IF($AH36=0,"",(VLOOKUP($AH36,'Пр.взв'!$D$6:$M$71,8,0)))</f>
        <v/>
      </c>
      <c r="AM36" s="309"/>
      <c r="AN36" s="309"/>
      <c r="AO36" s="309"/>
      <c r="AP36" s="310"/>
    </row>
    <row r="37" ht="27.75" customHeight="1">
      <c r="A37" s="361">
        <v>33.0</v>
      </c>
      <c r="B37" s="348">
        <f t="shared" si="1"/>
        <v>13.5</v>
      </c>
      <c r="C37" s="352"/>
      <c r="D37" s="302" t="str">
        <f>IF(C37=0,"",(VLOOKUP($C37,'Пр.взв'!$D$6:$J$76,2,0)))</f>
        <v/>
      </c>
      <c r="E37" s="302" t="str">
        <f>IF(C37=0,"",(VLOOKUP($C37,'Пр.взв'!$D$6:$J$76,5,0)))</f>
        <v/>
      </c>
      <c r="F37" s="302" t="str">
        <f>IF(C37=0,"",(VLOOKUP($C37,'Пр.взв'!$D$6:$M$76,6,0)))</f>
        <v/>
      </c>
      <c r="G37" s="302" t="str">
        <f>IF(C37=0,"",(VLOOKUP($C37,'Пр.взв'!$D$6:$M$76,8,0)))</f>
        <v/>
      </c>
      <c r="H37" s="304" t="str">
        <f>IF(C37=0,"", IF(C38=0,"СВОБОДЕН",""))</f>
        <v/>
      </c>
      <c r="I37" s="304"/>
      <c r="J37" s="304"/>
      <c r="K37" s="305"/>
      <c r="L37" s="361"/>
      <c r="M37" s="361">
        <f>IFERROR(__xludf.DUMMYFUNCTION("""COMPUTED_VALUE"""),13.5)</f>
        <v>13.5</v>
      </c>
      <c r="N37" s="352"/>
      <c r="O37" s="302" t="str">
        <f>IFERROR(__xludf.DUMMYFUNCTION("""COMPUTED_VALUE"""),"")</f>
        <v/>
      </c>
      <c r="P37" s="302" t="str">
        <f>IFERROR(__xludf.DUMMYFUNCTION("""COMPUTED_VALUE"""),"")</f>
        <v/>
      </c>
      <c r="Q37" s="302" t="str">
        <f>IFERROR(__xludf.DUMMYFUNCTION("""COMPUTED_VALUE"""),"")</f>
        <v/>
      </c>
      <c r="R37" s="302" t="str">
        <f>IFERROR(__xludf.DUMMYFUNCTION("""COMPUTED_VALUE"""),"")</f>
        <v/>
      </c>
      <c r="S37" s="304" t="str">
        <f>IFERROR(__xludf.DUMMYFUNCTION("""COMPUTED_VALUE"""),"")</f>
        <v/>
      </c>
      <c r="T37" s="304"/>
      <c r="U37" s="304"/>
      <c r="V37" s="305"/>
      <c r="W37" s="355"/>
      <c r="X37" s="352"/>
      <c r="Y37" s="302"/>
      <c r="Z37" s="302"/>
      <c r="AA37" s="302"/>
      <c r="AB37" s="302"/>
      <c r="AC37" s="304"/>
      <c r="AD37" s="304"/>
      <c r="AE37" s="304"/>
      <c r="AF37" s="305"/>
      <c r="AG37" s="355"/>
      <c r="AH37" s="352"/>
      <c r="AI37" s="302" t="str">
        <f>IF($AH37=0,"",(VLOOKUP($AH37,'Пр.взв'!$D$6:$J$71,2,0)))</f>
        <v/>
      </c>
      <c r="AJ37" s="302" t="str">
        <f>IF($AH37=0,"",(VLOOKUP($AH37,'Пр.взв'!$D$6:$J$71,5,0)))</f>
        <v/>
      </c>
      <c r="AK37" s="302" t="str">
        <f>IF($AH37=0,"",(VLOOKUP($AH37,'Пр.взв'!$D$6:$J$71,6,0)))</f>
        <v/>
      </c>
      <c r="AL37" s="302" t="str">
        <f>IF($AH37=0,"",(VLOOKUP($AH37,'Пр.взв'!$D$6:$M$71,8,0)))</f>
        <v/>
      </c>
      <c r="AM37" s="304" t="str">
        <f>IF(AH37=0,"", IF(AH38=0,"СВОБОДЕН",""))</f>
        <v/>
      </c>
      <c r="AN37" s="304"/>
      <c r="AO37" s="304"/>
      <c r="AP37" s="305"/>
    </row>
    <row r="38" ht="27.75" customHeight="1">
      <c r="A38" s="361">
        <v>34.0</v>
      </c>
      <c r="B38" s="348">
        <f t="shared" si="1"/>
        <v>13.5</v>
      </c>
      <c r="C38" s="356"/>
      <c r="D38" s="307" t="str">
        <f>IF(C38=0,"",(VLOOKUP($C38,'Пр.взв'!$D$6:$J$76,2,0)))</f>
        <v/>
      </c>
      <c r="E38" s="307" t="str">
        <f>IF(C38=0,"",(VLOOKUP($C38,'Пр.взв'!$D$6:$J$76,5,0)))</f>
        <v/>
      </c>
      <c r="F38" s="307" t="str">
        <f>IF(C38=0,"",(VLOOKUP($C38,'Пр.взв'!$D$6:$M$76,6,0)))</f>
        <v/>
      </c>
      <c r="G38" s="307" t="str">
        <f>IF(C38=0,"",(VLOOKUP($C38,'Пр.взв'!$D$6:$M$76,8,0)))</f>
        <v/>
      </c>
      <c r="H38" s="309"/>
      <c r="I38" s="309"/>
      <c r="J38" s="309"/>
      <c r="K38" s="310"/>
      <c r="L38" s="361"/>
      <c r="M38" s="361">
        <f>IFERROR(__xludf.DUMMYFUNCTION("""COMPUTED_VALUE"""),13.5)</f>
        <v>13.5</v>
      </c>
      <c r="N38" s="356"/>
      <c r="O38" s="307" t="str">
        <f>IFERROR(__xludf.DUMMYFUNCTION("""COMPUTED_VALUE"""),"")</f>
        <v/>
      </c>
      <c r="P38" s="307" t="str">
        <f>IFERROR(__xludf.DUMMYFUNCTION("""COMPUTED_VALUE"""),"")</f>
        <v/>
      </c>
      <c r="Q38" s="307" t="str">
        <f>IFERROR(__xludf.DUMMYFUNCTION("""COMPUTED_VALUE"""),"")</f>
        <v/>
      </c>
      <c r="R38" s="307" t="str">
        <f>IFERROR(__xludf.DUMMYFUNCTION("""COMPUTED_VALUE"""),"")</f>
        <v/>
      </c>
      <c r="S38" s="309"/>
      <c r="T38" s="309"/>
      <c r="U38" s="309"/>
      <c r="V38" s="310"/>
      <c r="W38" s="355"/>
      <c r="X38" s="356"/>
      <c r="Y38" s="307"/>
      <c r="Z38" s="307"/>
      <c r="AA38" s="307"/>
      <c r="AB38" s="307"/>
      <c r="AC38" s="309"/>
      <c r="AD38" s="309"/>
      <c r="AE38" s="309"/>
      <c r="AF38" s="310"/>
      <c r="AG38" s="355"/>
      <c r="AH38" s="356"/>
      <c r="AI38" s="307" t="str">
        <f>IF($AH38=0,"",(VLOOKUP($AH38,'Пр.взв'!$D$6:$J$71,2,0)))</f>
        <v/>
      </c>
      <c r="AJ38" s="307" t="str">
        <f>IF($AH38=0,"",(VLOOKUP($AH38,'Пр.взв'!$D$6:$J$71,5,0)))</f>
        <v/>
      </c>
      <c r="AK38" s="307" t="str">
        <f>IF($AH38=0,"",(VLOOKUP($AH38,'Пр.взв'!$D$6:$J$71,6,0)))</f>
        <v/>
      </c>
      <c r="AL38" s="307" t="str">
        <f>IF($AH38=0,"",(VLOOKUP($AH38,'Пр.взв'!$D$6:$M$71,8,0)))</f>
        <v/>
      </c>
      <c r="AM38" s="309"/>
      <c r="AN38" s="309"/>
      <c r="AO38" s="309"/>
      <c r="AP38" s="310"/>
    </row>
    <row r="39" ht="27.75" customHeight="1">
      <c r="A39" s="361">
        <v>35.0</v>
      </c>
      <c r="B39" s="348">
        <f t="shared" si="1"/>
        <v>13.5</v>
      </c>
      <c r="C39" s="352"/>
      <c r="D39" s="302" t="str">
        <f>IF(C39=0,"",(VLOOKUP($C39,'Пр.взв'!$D$6:$J$76,2,0)))</f>
        <v/>
      </c>
      <c r="E39" s="302" t="str">
        <f>IF(C39=0,"",(VLOOKUP($C39,'Пр.взв'!$D$6:$J$76,5,0)))</f>
        <v/>
      </c>
      <c r="F39" s="302" t="str">
        <f>IF(C39=0,"",(VLOOKUP($C39,'Пр.взв'!$D$6:$M$76,6,0)))</f>
        <v/>
      </c>
      <c r="G39" s="302" t="str">
        <f>IF(C39=0,"",(VLOOKUP($C39,'Пр.взв'!$D$6:$M$76,8,0)))</f>
        <v/>
      </c>
      <c r="H39" s="304" t="str">
        <f>IF(C39=0,"", IF(C40=0,"СВОБОДЕН",""))</f>
        <v/>
      </c>
      <c r="I39" s="304"/>
      <c r="J39" s="304"/>
      <c r="K39" s="305"/>
      <c r="L39" s="361"/>
      <c r="M39" s="361">
        <f>IFERROR(__xludf.DUMMYFUNCTION("""COMPUTED_VALUE"""),13.5)</f>
        <v>13.5</v>
      </c>
      <c r="N39" s="352"/>
      <c r="O39" s="302" t="str">
        <f>IFERROR(__xludf.DUMMYFUNCTION("""COMPUTED_VALUE"""),"")</f>
        <v/>
      </c>
      <c r="P39" s="302" t="str">
        <f>IFERROR(__xludf.DUMMYFUNCTION("""COMPUTED_VALUE"""),"")</f>
        <v/>
      </c>
      <c r="Q39" s="302" t="str">
        <f>IFERROR(__xludf.DUMMYFUNCTION("""COMPUTED_VALUE"""),"")</f>
        <v/>
      </c>
      <c r="R39" s="302" t="str">
        <f>IFERROR(__xludf.DUMMYFUNCTION("""COMPUTED_VALUE"""),"")</f>
        <v/>
      </c>
      <c r="S39" s="304" t="str">
        <f>IFERROR(__xludf.DUMMYFUNCTION("""COMPUTED_VALUE"""),"")</f>
        <v/>
      </c>
      <c r="T39" s="304"/>
      <c r="U39" s="304"/>
      <c r="V39" s="305"/>
      <c r="W39" s="355"/>
      <c r="X39" s="352"/>
      <c r="Y39" s="302"/>
      <c r="Z39" s="302"/>
      <c r="AA39" s="302"/>
      <c r="AB39" s="302"/>
      <c r="AC39" s="304"/>
      <c r="AD39" s="304"/>
      <c r="AE39" s="304"/>
      <c r="AF39" s="305"/>
      <c r="AG39" s="355"/>
      <c r="AH39" s="352"/>
      <c r="AI39" s="302" t="str">
        <f>IF($AH39=0,"",(VLOOKUP($AH39,'Пр.взв'!$D$6:$J$71,2,0)))</f>
        <v/>
      </c>
      <c r="AJ39" s="302" t="str">
        <f>IF($AH39=0,"",(VLOOKUP($AH39,'Пр.взв'!$D$6:$J$71,5,0)))</f>
        <v/>
      </c>
      <c r="AK39" s="302" t="str">
        <f>IF($AH39=0,"",(VLOOKUP($AH39,'Пр.взв'!$D$6:$J$71,6,0)))</f>
        <v/>
      </c>
      <c r="AL39" s="302" t="str">
        <f>IF($AH39=0,"",(VLOOKUP($AH39,'Пр.взв'!$D$6:$M$71,8,0)))</f>
        <v/>
      </c>
      <c r="AM39" s="304" t="str">
        <f>IF(AH39=0,"", IF(AH40=0,"СВОБОДЕН",""))</f>
        <v/>
      </c>
      <c r="AN39" s="304"/>
      <c r="AO39" s="304"/>
      <c r="AP39" s="305"/>
    </row>
    <row r="40" ht="27.75" customHeight="1">
      <c r="A40" s="361">
        <v>36.0</v>
      </c>
      <c r="B40" s="348">
        <f t="shared" si="1"/>
        <v>13.5</v>
      </c>
      <c r="C40" s="356"/>
      <c r="D40" s="307" t="str">
        <f>IF(C40=0,"",(VLOOKUP($C40,'Пр.взв'!$D$6:$J$76,2,0)))</f>
        <v/>
      </c>
      <c r="E40" s="307" t="str">
        <f>IF(C40=0,"",(VLOOKUP($C40,'Пр.взв'!$D$6:$J$76,5,0)))</f>
        <v/>
      </c>
      <c r="F40" s="307" t="str">
        <f>IF(C40=0,"",(VLOOKUP($C40,'Пр.взв'!$D$6:$M$76,6,0)))</f>
        <v/>
      </c>
      <c r="G40" s="307" t="str">
        <f>IF(C40=0,"",(VLOOKUP($C40,'Пр.взв'!$D$6:$M$76,8,0)))</f>
        <v/>
      </c>
      <c r="H40" s="309"/>
      <c r="I40" s="309"/>
      <c r="J40" s="309"/>
      <c r="K40" s="310"/>
      <c r="L40" s="361"/>
      <c r="M40" s="361">
        <f>IFERROR(__xludf.DUMMYFUNCTION("""COMPUTED_VALUE"""),13.5)</f>
        <v>13.5</v>
      </c>
      <c r="N40" s="356"/>
      <c r="O40" s="307" t="str">
        <f>IFERROR(__xludf.DUMMYFUNCTION("""COMPUTED_VALUE"""),"")</f>
        <v/>
      </c>
      <c r="P40" s="307" t="str">
        <f>IFERROR(__xludf.DUMMYFUNCTION("""COMPUTED_VALUE"""),"")</f>
        <v/>
      </c>
      <c r="Q40" s="307" t="str">
        <f>IFERROR(__xludf.DUMMYFUNCTION("""COMPUTED_VALUE"""),"")</f>
        <v/>
      </c>
      <c r="R40" s="307" t="str">
        <f>IFERROR(__xludf.DUMMYFUNCTION("""COMPUTED_VALUE"""),"")</f>
        <v/>
      </c>
      <c r="S40" s="309"/>
      <c r="T40" s="309"/>
      <c r="U40" s="309"/>
      <c r="V40" s="310"/>
      <c r="W40" s="355"/>
      <c r="X40" s="356"/>
      <c r="Y40" s="307"/>
      <c r="Z40" s="307"/>
      <c r="AA40" s="307"/>
      <c r="AB40" s="307"/>
      <c r="AC40" s="309"/>
      <c r="AD40" s="309"/>
      <c r="AE40" s="309"/>
      <c r="AF40" s="310"/>
      <c r="AG40" s="355"/>
      <c r="AH40" s="356"/>
      <c r="AI40" s="307" t="str">
        <f>IF($AH40=0,"",(VLOOKUP($AH40,'Пр.взв'!$D$6:$J$71,2,0)))</f>
        <v/>
      </c>
      <c r="AJ40" s="307" t="str">
        <f>IF($AH40=0,"",(VLOOKUP($AH40,'Пр.взв'!$D$6:$J$71,5,0)))</f>
        <v/>
      </c>
      <c r="AK40" s="307" t="str">
        <f>IF($AH40=0,"",(VLOOKUP($AH40,'Пр.взв'!$D$6:$J$71,6,0)))</f>
        <v/>
      </c>
      <c r="AL40" s="307" t="str">
        <f>IF($AH40=0,"",(VLOOKUP($AH40,'Пр.взв'!$D$6:$M$71,8,0)))</f>
        <v/>
      </c>
      <c r="AM40" s="309"/>
      <c r="AN40" s="309"/>
      <c r="AO40" s="309"/>
      <c r="AP40" s="310"/>
    </row>
    <row r="41" ht="27.75" customHeight="1">
      <c r="A41" s="361">
        <v>37.0</v>
      </c>
      <c r="B41" s="348">
        <f t="shared" si="1"/>
        <v>13.5</v>
      </c>
      <c r="C41" s="352"/>
      <c r="D41" s="302" t="str">
        <f>IF(C41=0,"",(VLOOKUP($C41,'Пр.взв'!$D$6:$J$76,2,0)))</f>
        <v/>
      </c>
      <c r="E41" s="302" t="str">
        <f>IF(C41=0,"",(VLOOKUP($C41,'Пр.взв'!$D$6:$J$76,5,0)))</f>
        <v/>
      </c>
      <c r="F41" s="302" t="str">
        <f>IF(C41=0,"",(VLOOKUP($C41,'Пр.взв'!$D$6:$M$76,6,0)))</f>
        <v/>
      </c>
      <c r="G41" s="302" t="str">
        <f>IF(C41=0,"",(VLOOKUP($C41,'Пр.взв'!$D$6:$M$76,8,0)))</f>
        <v/>
      </c>
      <c r="H41" s="304" t="str">
        <f>IF(C41=0,"", IF(C42=0,"СВОБОДЕН",""))</f>
        <v/>
      </c>
      <c r="I41" s="304"/>
      <c r="J41" s="304"/>
      <c r="K41" s="305"/>
      <c r="L41" s="361"/>
      <c r="M41" s="361">
        <f>IFERROR(__xludf.DUMMYFUNCTION("""COMPUTED_VALUE"""),13.5)</f>
        <v>13.5</v>
      </c>
      <c r="N41" s="352"/>
      <c r="O41" s="302" t="str">
        <f>IFERROR(__xludf.DUMMYFUNCTION("""COMPUTED_VALUE"""),"")</f>
        <v/>
      </c>
      <c r="P41" s="302" t="str">
        <f>IFERROR(__xludf.DUMMYFUNCTION("""COMPUTED_VALUE"""),"")</f>
        <v/>
      </c>
      <c r="Q41" s="302" t="str">
        <f>IFERROR(__xludf.DUMMYFUNCTION("""COMPUTED_VALUE"""),"")</f>
        <v/>
      </c>
      <c r="R41" s="302" t="str">
        <f>IFERROR(__xludf.DUMMYFUNCTION("""COMPUTED_VALUE"""),"")</f>
        <v/>
      </c>
      <c r="S41" s="304" t="str">
        <f>IFERROR(__xludf.DUMMYFUNCTION("""COMPUTED_VALUE"""),"")</f>
        <v/>
      </c>
      <c r="T41" s="304"/>
      <c r="U41" s="304"/>
      <c r="V41" s="305"/>
      <c r="W41" s="355"/>
      <c r="X41" s="352"/>
      <c r="Y41" s="302"/>
      <c r="Z41" s="302"/>
      <c r="AA41" s="302"/>
      <c r="AB41" s="302"/>
      <c r="AC41" s="304"/>
      <c r="AD41" s="304"/>
      <c r="AE41" s="304"/>
      <c r="AF41" s="305"/>
      <c r="AG41" s="355"/>
      <c r="AH41" s="352"/>
      <c r="AI41" s="302" t="str">
        <f>IF($AH41=0,"",(VLOOKUP($AH41,'Пр.взв'!$D$6:$J$71,2,0)))</f>
        <v/>
      </c>
      <c r="AJ41" s="302" t="str">
        <f>IF($AH41=0,"",(VLOOKUP($AH41,'Пр.взв'!$D$6:$J$71,5,0)))</f>
        <v/>
      </c>
      <c r="AK41" s="302" t="str">
        <f>IF($AH41=0,"",(VLOOKUP($AH41,'Пр.взв'!$D$6:$J$71,6,0)))</f>
        <v/>
      </c>
      <c r="AL41" s="302" t="str">
        <f>IF($AH41=0,"",(VLOOKUP($AH41,'Пр.взв'!$D$6:$M$71,8,0)))</f>
        <v/>
      </c>
      <c r="AM41" s="304" t="str">
        <f>IF(AH41=0,"", IF(AH42=0,"СВОБОДЕН",""))</f>
        <v/>
      </c>
      <c r="AN41" s="304"/>
      <c r="AO41" s="304"/>
      <c r="AP41" s="305"/>
    </row>
    <row r="42" ht="27.75" customHeight="1">
      <c r="A42" s="361">
        <v>38.0</v>
      </c>
      <c r="B42" s="348">
        <f t="shared" si="1"/>
        <v>13.5</v>
      </c>
      <c r="C42" s="356"/>
      <c r="D42" s="307" t="str">
        <f>IF(C42=0,"",(VLOOKUP($C42,'Пр.взв'!$D$6:$J$76,2,0)))</f>
        <v/>
      </c>
      <c r="E42" s="307" t="str">
        <f>IF(C42=0,"",(VLOOKUP($C42,'Пр.взв'!$D$6:$J$76,5,0)))</f>
        <v/>
      </c>
      <c r="F42" s="307" t="str">
        <f>IF(C42=0,"",(VLOOKUP($C42,'Пр.взв'!$D$6:$M$76,6,0)))</f>
        <v/>
      </c>
      <c r="G42" s="307" t="str">
        <f>IF(C42=0,"",(VLOOKUP($C42,'Пр.взв'!$D$6:$M$76,8,0)))</f>
        <v/>
      </c>
      <c r="H42" s="309"/>
      <c r="I42" s="309"/>
      <c r="J42" s="309"/>
      <c r="K42" s="310"/>
      <c r="L42" s="361"/>
      <c r="M42" s="361">
        <f>IFERROR(__xludf.DUMMYFUNCTION("""COMPUTED_VALUE"""),13.5)</f>
        <v>13.5</v>
      </c>
      <c r="N42" s="356"/>
      <c r="O42" s="307" t="str">
        <f>IFERROR(__xludf.DUMMYFUNCTION("""COMPUTED_VALUE"""),"")</f>
        <v/>
      </c>
      <c r="P42" s="307" t="str">
        <f>IFERROR(__xludf.DUMMYFUNCTION("""COMPUTED_VALUE"""),"")</f>
        <v/>
      </c>
      <c r="Q42" s="307" t="str">
        <f>IFERROR(__xludf.DUMMYFUNCTION("""COMPUTED_VALUE"""),"")</f>
        <v/>
      </c>
      <c r="R42" s="307" t="str">
        <f>IFERROR(__xludf.DUMMYFUNCTION("""COMPUTED_VALUE"""),"")</f>
        <v/>
      </c>
      <c r="S42" s="309"/>
      <c r="T42" s="309"/>
      <c r="U42" s="309"/>
      <c r="V42" s="310"/>
      <c r="W42" s="355"/>
      <c r="X42" s="356"/>
      <c r="Y42" s="307"/>
      <c r="Z42" s="307"/>
      <c r="AA42" s="307"/>
      <c r="AB42" s="307"/>
      <c r="AC42" s="309"/>
      <c r="AD42" s="309"/>
      <c r="AE42" s="309"/>
      <c r="AF42" s="310"/>
      <c r="AG42" s="355"/>
      <c r="AH42" s="356"/>
      <c r="AI42" s="307" t="str">
        <f>IF($AH42=0,"",(VLOOKUP($AH42,'Пр.взв'!$D$6:$J$71,2,0)))</f>
        <v/>
      </c>
      <c r="AJ42" s="307" t="str">
        <f>IF($AH42=0,"",(VLOOKUP($AH42,'Пр.взв'!$D$6:$J$71,5,0)))</f>
        <v/>
      </c>
      <c r="AK42" s="307" t="str">
        <f>IF($AH42=0,"",(VLOOKUP($AH42,'Пр.взв'!$D$6:$J$71,6,0)))</f>
        <v/>
      </c>
      <c r="AL42" s="307" t="str">
        <f>IF($AH42=0,"",(VLOOKUP($AH42,'Пр.взв'!$D$6:$M$71,8,0)))</f>
        <v/>
      </c>
      <c r="AM42" s="309"/>
      <c r="AN42" s="309"/>
      <c r="AO42" s="309"/>
      <c r="AP42" s="310"/>
    </row>
    <row r="43" ht="27.75" customHeight="1">
      <c r="A43" s="361">
        <v>39.0</v>
      </c>
      <c r="B43" s="348">
        <f t="shared" si="1"/>
        <v>13.5</v>
      </c>
      <c r="C43" s="352"/>
      <c r="D43" s="302" t="str">
        <f>IF(C43=0,"",(VLOOKUP($C43,'Пр.взв'!$D$6:$J$76,2,0)))</f>
        <v/>
      </c>
      <c r="E43" s="302" t="str">
        <f>IF(C43=0,"",(VLOOKUP($C43,'Пр.взв'!$D$6:$J$76,5,0)))</f>
        <v/>
      </c>
      <c r="F43" s="302" t="str">
        <f>IF(C43=0,"",(VLOOKUP($C43,'Пр.взв'!$D$6:$M$76,6,0)))</f>
        <v/>
      </c>
      <c r="G43" s="302" t="str">
        <f>IF(C43=0,"",(VLOOKUP($C43,'Пр.взв'!$D$6:$M$76,8,0)))</f>
        <v/>
      </c>
      <c r="H43" s="304" t="str">
        <f>IF(C43=0,"", IF(C44=0,"СВОБОДЕН",""))</f>
        <v/>
      </c>
      <c r="I43" s="304"/>
      <c r="J43" s="304"/>
      <c r="K43" s="305"/>
      <c r="L43" s="361"/>
      <c r="M43" s="361">
        <f>IFERROR(__xludf.DUMMYFUNCTION("""COMPUTED_VALUE"""),13.5)</f>
        <v>13.5</v>
      </c>
      <c r="N43" s="352"/>
      <c r="O43" s="302" t="str">
        <f>IFERROR(__xludf.DUMMYFUNCTION("""COMPUTED_VALUE"""),"")</f>
        <v/>
      </c>
      <c r="P43" s="302" t="str">
        <f>IFERROR(__xludf.DUMMYFUNCTION("""COMPUTED_VALUE"""),"")</f>
        <v/>
      </c>
      <c r="Q43" s="302" t="str">
        <f>IFERROR(__xludf.DUMMYFUNCTION("""COMPUTED_VALUE"""),"")</f>
        <v/>
      </c>
      <c r="R43" s="302" t="str">
        <f>IFERROR(__xludf.DUMMYFUNCTION("""COMPUTED_VALUE"""),"")</f>
        <v/>
      </c>
      <c r="S43" s="304" t="str">
        <f>IFERROR(__xludf.DUMMYFUNCTION("""COMPUTED_VALUE"""),"")</f>
        <v/>
      </c>
      <c r="T43" s="304"/>
      <c r="U43" s="304"/>
      <c r="V43" s="305"/>
      <c r="W43" s="355"/>
      <c r="X43" s="352"/>
      <c r="Y43" s="302"/>
      <c r="Z43" s="302"/>
      <c r="AA43" s="302"/>
      <c r="AB43" s="302"/>
      <c r="AC43" s="304"/>
      <c r="AD43" s="304"/>
      <c r="AE43" s="304"/>
      <c r="AF43" s="305"/>
      <c r="AG43" s="355"/>
      <c r="AH43" s="352"/>
      <c r="AI43" s="302" t="str">
        <f>IF($AH43=0,"",(VLOOKUP($AH43,'Пр.взв'!$D$6:$J$71,2,0)))</f>
        <v/>
      </c>
      <c r="AJ43" s="302" t="str">
        <f>IF($AH43=0,"",(VLOOKUP($AH43,'Пр.взв'!$D$6:$J$71,5,0)))</f>
        <v/>
      </c>
      <c r="AK43" s="302" t="str">
        <f>IF($AH43=0,"",(VLOOKUP($AH43,'Пр.взв'!$D$6:$J$71,6,0)))</f>
        <v/>
      </c>
      <c r="AL43" s="302" t="str">
        <f>IF($AH43=0,"",(VLOOKUP($AH43,'Пр.взв'!$D$6:$M$71,8,0)))</f>
        <v/>
      </c>
      <c r="AM43" s="304" t="str">
        <f>IF(AH43=0,"", IF(AH44=0,"СВОБОДЕН",""))</f>
        <v/>
      </c>
      <c r="AN43" s="304"/>
      <c r="AO43" s="304"/>
      <c r="AP43" s="305"/>
    </row>
    <row r="44" ht="27.75" customHeight="1">
      <c r="A44" s="361">
        <v>40.0</v>
      </c>
      <c r="B44" s="348">
        <f t="shared" si="1"/>
        <v>13.5</v>
      </c>
      <c r="C44" s="356"/>
      <c r="D44" s="307" t="str">
        <f>IF(C44=0,"",(VLOOKUP($C44,'Пр.взв'!$D$6:$J$76,2,0)))</f>
        <v/>
      </c>
      <c r="E44" s="307" t="str">
        <f>IF(C44=0,"",(VLOOKUP($C44,'Пр.взв'!$D$6:$J$76,5,0)))</f>
        <v/>
      </c>
      <c r="F44" s="307" t="str">
        <f>IF(C44=0,"",(VLOOKUP($C44,'Пр.взв'!$D$6:$M$76,6,0)))</f>
        <v/>
      </c>
      <c r="G44" s="307" t="str">
        <f>IF(C44=0,"",(VLOOKUP($C44,'Пр.взв'!$D$6:$M$76,8,0)))</f>
        <v/>
      </c>
      <c r="H44" s="309"/>
      <c r="I44" s="309"/>
      <c r="J44" s="309"/>
      <c r="K44" s="310"/>
      <c r="L44" s="361"/>
      <c r="M44" s="361">
        <f>IFERROR(__xludf.DUMMYFUNCTION("""COMPUTED_VALUE"""),13.5)</f>
        <v>13.5</v>
      </c>
      <c r="N44" s="356"/>
      <c r="O44" s="307" t="str">
        <f>IFERROR(__xludf.DUMMYFUNCTION("""COMPUTED_VALUE"""),"")</f>
        <v/>
      </c>
      <c r="P44" s="307" t="str">
        <f>IFERROR(__xludf.DUMMYFUNCTION("""COMPUTED_VALUE"""),"")</f>
        <v/>
      </c>
      <c r="Q44" s="307" t="str">
        <f>IFERROR(__xludf.DUMMYFUNCTION("""COMPUTED_VALUE"""),"")</f>
        <v/>
      </c>
      <c r="R44" s="307" t="str">
        <f>IFERROR(__xludf.DUMMYFUNCTION("""COMPUTED_VALUE"""),"")</f>
        <v/>
      </c>
      <c r="S44" s="309"/>
      <c r="T44" s="309"/>
      <c r="U44" s="309"/>
      <c r="V44" s="310"/>
      <c r="W44" s="355"/>
      <c r="X44" s="356"/>
      <c r="Y44" s="307"/>
      <c r="Z44" s="307"/>
      <c r="AA44" s="307"/>
      <c r="AB44" s="307"/>
      <c r="AC44" s="309"/>
      <c r="AD44" s="309"/>
      <c r="AE44" s="309"/>
      <c r="AF44" s="310"/>
      <c r="AG44" s="355"/>
      <c r="AH44" s="356"/>
      <c r="AI44" s="307" t="str">
        <f>IF($AH44=0,"",(VLOOKUP($AH44,'Пр.взв'!$D$6:$J$71,2,0)))</f>
        <v/>
      </c>
      <c r="AJ44" s="307" t="str">
        <f>IF($AH44=0,"",(VLOOKUP($AH44,'Пр.взв'!$D$6:$J$71,5,0)))</f>
        <v/>
      </c>
      <c r="AK44" s="307" t="str">
        <f>IF($AH44=0,"",(VLOOKUP($AH44,'Пр.взв'!$D$6:$J$71,6,0)))</f>
        <v/>
      </c>
      <c r="AL44" s="307" t="str">
        <f>IF($AH44=0,"",(VLOOKUP($AH44,'Пр.взв'!$D$6:$M$71,8,0)))</f>
        <v/>
      </c>
      <c r="AM44" s="309"/>
      <c r="AN44" s="309"/>
      <c r="AO44" s="309"/>
      <c r="AP44" s="310"/>
    </row>
    <row r="45" ht="27.75" customHeight="1">
      <c r="A45" s="361">
        <v>41.0</v>
      </c>
      <c r="B45" s="348">
        <f t="shared" si="1"/>
        <v>13.5</v>
      </c>
      <c r="C45" s="352"/>
      <c r="D45" s="302" t="str">
        <f>IF(C45=0,"",(VLOOKUP($C45,'Пр.взв'!$D$6:$J$76,2,0)))</f>
        <v/>
      </c>
      <c r="E45" s="302" t="str">
        <f>IF(C45=0,"",(VLOOKUP($C45,'Пр.взв'!$D$6:$J$76,5,0)))</f>
        <v/>
      </c>
      <c r="F45" s="302" t="str">
        <f>IF(C45=0,"",(VLOOKUP($C45,'Пр.взв'!$D$6:$M$76,6,0)))</f>
        <v/>
      </c>
      <c r="G45" s="302" t="str">
        <f>IF(C45=0,"",(VLOOKUP($C45,'Пр.взв'!$D$6:$M$76,8,0)))</f>
        <v/>
      </c>
      <c r="H45" s="304" t="str">
        <f>IF(C45=0,"", IF(C46=0,"СВОБОДЕН",""))</f>
        <v/>
      </c>
      <c r="I45" s="304"/>
      <c r="J45" s="304"/>
      <c r="K45" s="305"/>
      <c r="L45" s="361"/>
      <c r="M45" s="361">
        <f>IFERROR(__xludf.DUMMYFUNCTION("""COMPUTED_VALUE"""),13.5)</f>
        <v>13.5</v>
      </c>
      <c r="N45" s="352"/>
      <c r="O45" s="302" t="str">
        <f>IFERROR(__xludf.DUMMYFUNCTION("""COMPUTED_VALUE"""),"")</f>
        <v/>
      </c>
      <c r="P45" s="302" t="str">
        <f>IFERROR(__xludf.DUMMYFUNCTION("""COMPUTED_VALUE"""),"")</f>
        <v/>
      </c>
      <c r="Q45" s="302" t="str">
        <f>IFERROR(__xludf.DUMMYFUNCTION("""COMPUTED_VALUE"""),"")</f>
        <v/>
      </c>
      <c r="R45" s="302" t="str">
        <f>IFERROR(__xludf.DUMMYFUNCTION("""COMPUTED_VALUE"""),"")</f>
        <v/>
      </c>
      <c r="S45" s="304" t="str">
        <f>IFERROR(__xludf.DUMMYFUNCTION("""COMPUTED_VALUE"""),"")</f>
        <v/>
      </c>
      <c r="T45" s="304"/>
      <c r="U45" s="304"/>
      <c r="V45" s="305"/>
      <c r="W45" s="355"/>
      <c r="X45" s="352"/>
      <c r="Y45" s="302"/>
      <c r="Z45" s="302"/>
      <c r="AA45" s="302"/>
      <c r="AB45" s="302"/>
      <c r="AC45" s="304"/>
      <c r="AD45" s="304"/>
      <c r="AE45" s="304"/>
      <c r="AF45" s="305"/>
      <c r="AG45" s="355"/>
      <c r="AH45" s="352"/>
      <c r="AI45" s="302" t="str">
        <f>IF($AH45=0,"",(VLOOKUP($AH45,'Пр.взв'!$D$6:$J$71,2,0)))</f>
        <v/>
      </c>
      <c r="AJ45" s="302" t="str">
        <f>IF($AH45=0,"",(VLOOKUP($AH45,'Пр.взв'!$D$6:$J$71,5,0)))</f>
        <v/>
      </c>
      <c r="AK45" s="302" t="str">
        <f>IF($AH45=0,"",(VLOOKUP($AH45,'Пр.взв'!$D$6:$J$71,6,0)))</f>
        <v/>
      </c>
      <c r="AL45" s="302" t="str">
        <f>IF($AH45=0,"",(VLOOKUP($AH45,'Пр.взв'!$D$6:$M$71,8,0)))</f>
        <v/>
      </c>
      <c r="AM45" s="304" t="str">
        <f>IF(AH45=0,"", IF(AH46=0,"СВОБОДЕН",""))</f>
        <v/>
      </c>
      <c r="AN45" s="304"/>
      <c r="AO45" s="304"/>
      <c r="AP45" s="305"/>
    </row>
    <row r="46" ht="27.75" customHeight="1">
      <c r="A46" s="361">
        <v>42.0</v>
      </c>
      <c r="B46" s="348">
        <f t="shared" si="1"/>
        <v>13.5</v>
      </c>
      <c r="C46" s="356"/>
      <c r="D46" s="307" t="str">
        <f>IF(C46=0,"",(VLOOKUP($C46,'Пр.взв'!$D$6:$J$76,2,0)))</f>
        <v/>
      </c>
      <c r="E46" s="307" t="str">
        <f>IF(C46=0,"",(VLOOKUP($C46,'Пр.взв'!$D$6:$J$76,5,0)))</f>
        <v/>
      </c>
      <c r="F46" s="307" t="str">
        <f>IF(C46=0,"",(VLOOKUP($C46,'Пр.взв'!$D$6:$M$76,6,0)))</f>
        <v/>
      </c>
      <c r="G46" s="307" t="str">
        <f>IF(C46=0,"",(VLOOKUP($C46,'Пр.взв'!$D$6:$M$76,8,0)))</f>
        <v/>
      </c>
      <c r="H46" s="309"/>
      <c r="I46" s="309"/>
      <c r="J46" s="309"/>
      <c r="K46" s="310"/>
      <c r="L46" s="361"/>
      <c r="M46" s="361">
        <f>IFERROR(__xludf.DUMMYFUNCTION("""COMPUTED_VALUE"""),13.5)</f>
        <v>13.5</v>
      </c>
      <c r="N46" s="356"/>
      <c r="O46" s="307" t="str">
        <f>IFERROR(__xludf.DUMMYFUNCTION("""COMPUTED_VALUE"""),"")</f>
        <v/>
      </c>
      <c r="P46" s="307" t="str">
        <f>IFERROR(__xludf.DUMMYFUNCTION("""COMPUTED_VALUE"""),"")</f>
        <v/>
      </c>
      <c r="Q46" s="307" t="str">
        <f>IFERROR(__xludf.DUMMYFUNCTION("""COMPUTED_VALUE"""),"")</f>
        <v/>
      </c>
      <c r="R46" s="307" t="str">
        <f>IFERROR(__xludf.DUMMYFUNCTION("""COMPUTED_VALUE"""),"")</f>
        <v/>
      </c>
      <c r="S46" s="309"/>
      <c r="T46" s="309"/>
      <c r="U46" s="309"/>
      <c r="V46" s="310"/>
      <c r="W46" s="355"/>
      <c r="X46" s="356"/>
      <c r="Y46" s="307"/>
      <c r="Z46" s="307"/>
      <c r="AA46" s="307"/>
      <c r="AB46" s="307"/>
      <c r="AC46" s="309"/>
      <c r="AD46" s="309"/>
      <c r="AE46" s="309"/>
      <c r="AF46" s="310"/>
      <c r="AG46" s="355"/>
      <c r="AH46" s="356"/>
      <c r="AI46" s="307" t="str">
        <f>IF($AH46=0,"",(VLOOKUP($AH46,'Пр.взв'!$D$6:$J$71,2,0)))</f>
        <v/>
      </c>
      <c r="AJ46" s="307" t="str">
        <f>IF($AH46=0,"",(VLOOKUP($AH46,'Пр.взв'!$D$6:$J$71,5,0)))</f>
        <v/>
      </c>
      <c r="AK46" s="307" t="str">
        <f>IF($AH46=0,"",(VLOOKUP($AH46,'Пр.взв'!$D$6:$J$71,6,0)))</f>
        <v/>
      </c>
      <c r="AL46" s="307" t="str">
        <f>IF($AH46=0,"",(VLOOKUP($AH46,'Пр.взв'!$D$6:$M$71,8,0)))</f>
        <v/>
      </c>
      <c r="AM46" s="309"/>
      <c r="AN46" s="309"/>
      <c r="AO46" s="309"/>
      <c r="AP46" s="310"/>
    </row>
    <row r="47" ht="27.75" customHeight="1">
      <c r="A47" s="361">
        <v>43.0</v>
      </c>
      <c r="B47" s="348">
        <f t="shared" si="1"/>
        <v>13.5</v>
      </c>
      <c r="C47" s="352"/>
      <c r="D47" s="302" t="str">
        <f>IF(C47=0,"",(VLOOKUP($C47,'Пр.взв'!$D$6:$J$76,2,0)))</f>
        <v/>
      </c>
      <c r="E47" s="302" t="str">
        <f>IF(C47=0,"",(VLOOKUP($C47,'Пр.взв'!$D$6:$J$76,5,0)))</f>
        <v/>
      </c>
      <c r="F47" s="302" t="str">
        <f>IF(C47=0,"",(VLOOKUP($C47,'Пр.взв'!$D$6:$M$76,6,0)))</f>
        <v/>
      </c>
      <c r="G47" s="302" t="str">
        <f>IF(C47=0,"",(VLOOKUP($C47,'Пр.взв'!$D$6:$M$76,8,0)))</f>
        <v/>
      </c>
      <c r="H47" s="304" t="str">
        <f>IF(C47=0,"", IF(C48=0,"СВОБОДЕН",""))</f>
        <v/>
      </c>
      <c r="I47" s="304"/>
      <c r="J47" s="304"/>
      <c r="K47" s="305"/>
      <c r="L47" s="361"/>
      <c r="M47" s="361">
        <f>IFERROR(__xludf.DUMMYFUNCTION("""COMPUTED_VALUE"""),13.5)</f>
        <v>13.5</v>
      </c>
      <c r="N47" s="352"/>
      <c r="O47" s="302" t="str">
        <f>IFERROR(__xludf.DUMMYFUNCTION("""COMPUTED_VALUE"""),"")</f>
        <v/>
      </c>
      <c r="P47" s="302" t="str">
        <f>IFERROR(__xludf.DUMMYFUNCTION("""COMPUTED_VALUE"""),"")</f>
        <v/>
      </c>
      <c r="Q47" s="302" t="str">
        <f>IFERROR(__xludf.DUMMYFUNCTION("""COMPUTED_VALUE"""),"")</f>
        <v/>
      </c>
      <c r="R47" s="302" t="str">
        <f>IFERROR(__xludf.DUMMYFUNCTION("""COMPUTED_VALUE"""),"")</f>
        <v/>
      </c>
      <c r="S47" s="304" t="str">
        <f>IFERROR(__xludf.DUMMYFUNCTION("""COMPUTED_VALUE"""),"")</f>
        <v/>
      </c>
      <c r="T47" s="304"/>
      <c r="U47" s="304"/>
      <c r="V47" s="305"/>
      <c r="W47" s="355"/>
      <c r="X47" s="352"/>
      <c r="Y47" s="302"/>
      <c r="Z47" s="302"/>
      <c r="AA47" s="302"/>
      <c r="AB47" s="302"/>
      <c r="AC47" s="304"/>
      <c r="AD47" s="304"/>
      <c r="AE47" s="304"/>
      <c r="AF47" s="305"/>
      <c r="AG47" s="355"/>
      <c r="AH47" s="352"/>
      <c r="AI47" s="302" t="str">
        <f>IF($AH47=0,"",(VLOOKUP($AH47,'Пр.взв'!$D$6:$J$71,2,0)))</f>
        <v/>
      </c>
      <c r="AJ47" s="302" t="str">
        <f>IF($AH47=0,"",(VLOOKUP($AH47,'Пр.взв'!$D$6:$J$71,5,0)))</f>
        <v/>
      </c>
      <c r="AK47" s="302" t="str">
        <f>IF($AH47=0,"",(VLOOKUP($AH47,'Пр.взв'!$D$6:$J$71,6,0)))</f>
        <v/>
      </c>
      <c r="AL47" s="302" t="str">
        <f>IF($AH47=0,"",(VLOOKUP($AH47,'Пр.взв'!$D$6:$M$71,8,0)))</f>
        <v/>
      </c>
      <c r="AM47" s="304" t="str">
        <f>IF(AH47=0,"", IF(AH48=0,"СВОБОДЕН",""))</f>
        <v/>
      </c>
      <c r="AN47" s="304"/>
      <c r="AO47" s="304"/>
      <c r="AP47" s="305"/>
    </row>
    <row r="48" ht="27.75" customHeight="1">
      <c r="A48" s="361">
        <v>44.0</v>
      </c>
      <c r="B48" s="348">
        <f t="shared" si="1"/>
        <v>13.5</v>
      </c>
      <c r="C48" s="356"/>
      <c r="D48" s="307" t="str">
        <f>IF(C48=0,"",(VLOOKUP($C48,'Пр.взв'!$D$6:$J$76,2,0)))</f>
        <v/>
      </c>
      <c r="E48" s="307" t="str">
        <f>IF(C48=0,"",(VLOOKUP($C48,'Пр.взв'!$D$6:$J$76,5,0)))</f>
        <v/>
      </c>
      <c r="F48" s="307" t="str">
        <f>IF(C48=0,"",(VLOOKUP($C48,'Пр.взв'!$D$6:$M$76,6,0)))</f>
        <v/>
      </c>
      <c r="G48" s="307" t="str">
        <f>IF(C48=0,"",(VLOOKUP($C48,'Пр.взв'!$D$6:$M$76,8,0)))</f>
        <v/>
      </c>
      <c r="H48" s="309"/>
      <c r="I48" s="309"/>
      <c r="J48" s="309"/>
      <c r="K48" s="310"/>
      <c r="L48" s="361"/>
      <c r="M48" s="361">
        <f>IFERROR(__xludf.DUMMYFUNCTION("""COMPUTED_VALUE"""),13.5)</f>
        <v>13.5</v>
      </c>
      <c r="N48" s="356"/>
      <c r="O48" s="307" t="str">
        <f>IFERROR(__xludf.DUMMYFUNCTION("""COMPUTED_VALUE"""),"")</f>
        <v/>
      </c>
      <c r="P48" s="307" t="str">
        <f>IFERROR(__xludf.DUMMYFUNCTION("""COMPUTED_VALUE"""),"")</f>
        <v/>
      </c>
      <c r="Q48" s="307" t="str">
        <f>IFERROR(__xludf.DUMMYFUNCTION("""COMPUTED_VALUE"""),"")</f>
        <v/>
      </c>
      <c r="R48" s="307" t="str">
        <f>IFERROR(__xludf.DUMMYFUNCTION("""COMPUTED_VALUE"""),"")</f>
        <v/>
      </c>
      <c r="S48" s="309"/>
      <c r="T48" s="309"/>
      <c r="U48" s="309"/>
      <c r="V48" s="310"/>
      <c r="W48" s="355"/>
      <c r="X48" s="356"/>
      <c r="Y48" s="307"/>
      <c r="Z48" s="307"/>
      <c r="AA48" s="307"/>
      <c r="AB48" s="307"/>
      <c r="AC48" s="309"/>
      <c r="AD48" s="309"/>
      <c r="AE48" s="309"/>
      <c r="AF48" s="310"/>
      <c r="AG48" s="355"/>
      <c r="AH48" s="356"/>
      <c r="AI48" s="307" t="str">
        <f>IF($AH48=0,"",(VLOOKUP($AH48,'Пр.взв'!$D$6:$J$71,2,0)))</f>
        <v/>
      </c>
      <c r="AJ48" s="307" t="str">
        <f>IF($AH48=0,"",(VLOOKUP($AH48,'Пр.взв'!$D$6:$J$71,5,0)))</f>
        <v/>
      </c>
      <c r="AK48" s="307" t="str">
        <f>IF($AH48=0,"",(VLOOKUP($AH48,'Пр.взв'!$D$6:$J$71,6,0)))</f>
        <v/>
      </c>
      <c r="AL48" s="307" t="str">
        <f>IF($AH48=0,"",(VLOOKUP($AH48,'Пр.взв'!$D$6:$M$71,8,0)))</f>
        <v/>
      </c>
      <c r="AM48" s="309"/>
      <c r="AN48" s="309"/>
      <c r="AO48" s="309"/>
      <c r="AP48" s="310"/>
    </row>
    <row r="49" ht="27.75" customHeight="1">
      <c r="A49" s="361">
        <v>45.0</v>
      </c>
      <c r="B49" s="348">
        <f t="shared" si="1"/>
        <v>13.5</v>
      </c>
      <c r="C49" s="352"/>
      <c r="D49" s="302" t="str">
        <f>IF(C49=0,"",(VLOOKUP($C49,'Пр.взв'!$D$6:$J$76,2,0)))</f>
        <v/>
      </c>
      <c r="E49" s="302" t="str">
        <f>IF(C49=0,"",(VLOOKUP($C49,'Пр.взв'!$D$6:$J$76,5,0)))</f>
        <v/>
      </c>
      <c r="F49" s="302" t="str">
        <f>IF(C49=0,"",(VLOOKUP($C49,'Пр.взв'!$D$6:$M$76,6,0)))</f>
        <v/>
      </c>
      <c r="G49" s="302" t="str">
        <f>IF(C49=0,"",(VLOOKUP($C49,'Пр.взв'!$D$6:$M$76,8,0)))</f>
        <v/>
      </c>
      <c r="H49" s="304" t="str">
        <f>IF(C49=0,"", IF(C50=0,"СВОБОДЕН",""))</f>
        <v/>
      </c>
      <c r="I49" s="304"/>
      <c r="J49" s="304"/>
      <c r="K49" s="305"/>
      <c r="L49" s="361"/>
      <c r="M49" s="361">
        <f>IFERROR(__xludf.DUMMYFUNCTION("""COMPUTED_VALUE"""),13.5)</f>
        <v>13.5</v>
      </c>
      <c r="N49" s="352"/>
      <c r="O49" s="302" t="str">
        <f>IFERROR(__xludf.DUMMYFUNCTION("""COMPUTED_VALUE"""),"")</f>
        <v/>
      </c>
      <c r="P49" s="302" t="str">
        <f>IFERROR(__xludf.DUMMYFUNCTION("""COMPUTED_VALUE"""),"")</f>
        <v/>
      </c>
      <c r="Q49" s="302" t="str">
        <f>IFERROR(__xludf.DUMMYFUNCTION("""COMPUTED_VALUE"""),"")</f>
        <v/>
      </c>
      <c r="R49" s="302" t="str">
        <f>IFERROR(__xludf.DUMMYFUNCTION("""COMPUTED_VALUE"""),"")</f>
        <v/>
      </c>
      <c r="S49" s="304" t="str">
        <f>IFERROR(__xludf.DUMMYFUNCTION("""COMPUTED_VALUE"""),"")</f>
        <v/>
      </c>
      <c r="T49" s="304"/>
      <c r="U49" s="304"/>
      <c r="V49" s="305"/>
      <c r="W49" s="355"/>
      <c r="X49" s="352"/>
      <c r="Y49" s="302"/>
      <c r="Z49" s="302"/>
      <c r="AA49" s="302"/>
      <c r="AB49" s="302"/>
      <c r="AC49" s="304"/>
      <c r="AD49" s="304"/>
      <c r="AE49" s="304"/>
      <c r="AF49" s="305"/>
      <c r="AG49" s="355"/>
      <c r="AH49" s="352"/>
      <c r="AI49" s="302" t="str">
        <f>IF($AH49=0,"",(VLOOKUP($AH49,'Пр.взв'!$D$6:$J$71,2,0)))</f>
        <v/>
      </c>
      <c r="AJ49" s="302" t="str">
        <f>IF($AH49=0,"",(VLOOKUP($AH49,'Пр.взв'!$D$6:$J$71,5,0)))</f>
        <v/>
      </c>
      <c r="AK49" s="302" t="str">
        <f>IF($AH49=0,"",(VLOOKUP($AH49,'Пр.взв'!$D$6:$J$71,6,0)))</f>
        <v/>
      </c>
      <c r="AL49" s="302" t="str">
        <f>IF($AH49=0,"",(VLOOKUP($AH49,'Пр.взв'!$D$6:$M$71,8,0)))</f>
        <v/>
      </c>
      <c r="AM49" s="304" t="str">
        <f>IF(AH49=0,"", IF(AH50=0,"СВОБОДЕН",""))</f>
        <v/>
      </c>
      <c r="AN49" s="304"/>
      <c r="AO49" s="304"/>
      <c r="AP49" s="305"/>
    </row>
    <row r="50" ht="27.75" customHeight="1">
      <c r="A50" s="361">
        <v>46.0</v>
      </c>
      <c r="B50" s="348">
        <f t="shared" si="1"/>
        <v>13.5</v>
      </c>
      <c r="C50" s="356"/>
      <c r="D50" s="307" t="str">
        <f>IF(C50=0,"",(VLOOKUP($C50,'Пр.взв'!$D$6:$J$76,2,0)))</f>
        <v/>
      </c>
      <c r="E50" s="307" t="str">
        <f>IF(C50=0,"",(VLOOKUP($C50,'Пр.взв'!$D$6:$J$76,5,0)))</f>
        <v/>
      </c>
      <c r="F50" s="307" t="str">
        <f>IF(C50=0,"",(VLOOKUP($C50,'Пр.взв'!$D$6:$M$76,6,0)))</f>
        <v/>
      </c>
      <c r="G50" s="307" t="str">
        <f>IF(C50=0,"",(VLOOKUP($C50,'Пр.взв'!$D$6:$M$76,8,0)))</f>
        <v/>
      </c>
      <c r="H50" s="309"/>
      <c r="I50" s="309"/>
      <c r="J50" s="309"/>
      <c r="K50" s="310"/>
      <c r="L50" s="361"/>
      <c r="M50" s="361">
        <f>IFERROR(__xludf.DUMMYFUNCTION("""COMPUTED_VALUE"""),13.5)</f>
        <v>13.5</v>
      </c>
      <c r="N50" s="356"/>
      <c r="O50" s="307" t="str">
        <f>IFERROR(__xludf.DUMMYFUNCTION("""COMPUTED_VALUE"""),"")</f>
        <v/>
      </c>
      <c r="P50" s="307" t="str">
        <f>IFERROR(__xludf.DUMMYFUNCTION("""COMPUTED_VALUE"""),"")</f>
        <v/>
      </c>
      <c r="Q50" s="307" t="str">
        <f>IFERROR(__xludf.DUMMYFUNCTION("""COMPUTED_VALUE"""),"")</f>
        <v/>
      </c>
      <c r="R50" s="307" t="str">
        <f>IFERROR(__xludf.DUMMYFUNCTION("""COMPUTED_VALUE"""),"")</f>
        <v/>
      </c>
      <c r="S50" s="309"/>
      <c r="T50" s="309"/>
      <c r="U50" s="309"/>
      <c r="V50" s="310"/>
      <c r="W50" s="355"/>
      <c r="X50" s="356"/>
      <c r="Y50" s="307"/>
      <c r="Z50" s="307"/>
      <c r="AA50" s="307"/>
      <c r="AB50" s="307"/>
      <c r="AC50" s="309"/>
      <c r="AD50" s="309"/>
      <c r="AE50" s="309"/>
      <c r="AF50" s="310"/>
      <c r="AG50" s="355"/>
      <c r="AH50" s="356"/>
      <c r="AI50" s="307" t="str">
        <f>IF($AH50=0,"",(VLOOKUP($AH50,'Пр.взв'!$D$6:$J$71,2,0)))</f>
        <v/>
      </c>
      <c r="AJ50" s="307" t="str">
        <f>IF($AH50=0,"",(VLOOKUP($AH50,'Пр.взв'!$D$6:$J$71,5,0)))</f>
        <v/>
      </c>
      <c r="AK50" s="307" t="str">
        <f>IF($AH50=0,"",(VLOOKUP($AH50,'Пр.взв'!$D$6:$J$71,6,0)))</f>
        <v/>
      </c>
      <c r="AL50" s="307" t="str">
        <f>IF($AH50=0,"",(VLOOKUP($AH50,'Пр.взв'!$D$6:$M$71,8,0)))</f>
        <v/>
      </c>
      <c r="AM50" s="309"/>
      <c r="AN50" s="309"/>
      <c r="AO50" s="309"/>
      <c r="AP50" s="310"/>
    </row>
    <row r="51" ht="27.75" customHeight="1">
      <c r="A51" s="361">
        <v>47.0</v>
      </c>
      <c r="B51" s="348">
        <f t="shared" si="1"/>
        <v>13.5</v>
      </c>
      <c r="C51" s="352"/>
      <c r="D51" s="302" t="str">
        <f>IF(C51=0,"",(VLOOKUP($C51,'Пр.взв'!$D$6:$J$76,2,0)))</f>
        <v/>
      </c>
      <c r="E51" s="302" t="str">
        <f>IF(C51=0,"",(VLOOKUP($C51,'Пр.взв'!$D$6:$J$76,5,0)))</f>
        <v/>
      </c>
      <c r="F51" s="302" t="str">
        <f>IF(C51=0,"",(VLOOKUP($C51,'Пр.взв'!$D$6:$M$76,6,0)))</f>
        <v/>
      </c>
      <c r="G51" s="302" t="str">
        <f>IF(C51=0,"",(VLOOKUP($C51,'Пр.взв'!$D$6:$M$76,8,0)))</f>
        <v/>
      </c>
      <c r="H51" s="304" t="str">
        <f>IF(C51=0,"", IF(C52=0,"СВОБОДЕН",""))</f>
        <v/>
      </c>
      <c r="I51" s="304"/>
      <c r="J51" s="304"/>
      <c r="K51" s="305"/>
      <c r="L51" s="361"/>
      <c r="M51" s="361">
        <f>IFERROR(__xludf.DUMMYFUNCTION("""COMPUTED_VALUE"""),13.5)</f>
        <v>13.5</v>
      </c>
      <c r="N51" s="352"/>
      <c r="O51" s="302" t="str">
        <f>IFERROR(__xludf.DUMMYFUNCTION("""COMPUTED_VALUE"""),"")</f>
        <v/>
      </c>
      <c r="P51" s="302" t="str">
        <f>IFERROR(__xludf.DUMMYFUNCTION("""COMPUTED_VALUE"""),"")</f>
        <v/>
      </c>
      <c r="Q51" s="302" t="str">
        <f>IFERROR(__xludf.DUMMYFUNCTION("""COMPUTED_VALUE"""),"")</f>
        <v/>
      </c>
      <c r="R51" s="302" t="str">
        <f>IFERROR(__xludf.DUMMYFUNCTION("""COMPUTED_VALUE"""),"")</f>
        <v/>
      </c>
      <c r="S51" s="304" t="str">
        <f>IFERROR(__xludf.DUMMYFUNCTION("""COMPUTED_VALUE"""),"")</f>
        <v/>
      </c>
      <c r="T51" s="304"/>
      <c r="U51" s="304"/>
      <c r="V51" s="305"/>
      <c r="W51" s="355"/>
      <c r="X51" s="352"/>
      <c r="Y51" s="302"/>
      <c r="Z51" s="302"/>
      <c r="AA51" s="302"/>
      <c r="AB51" s="302"/>
      <c r="AC51" s="304"/>
      <c r="AD51" s="304"/>
      <c r="AE51" s="304"/>
      <c r="AF51" s="305"/>
      <c r="AG51" s="355"/>
      <c r="AH51" s="352"/>
      <c r="AI51" s="302" t="str">
        <f>IF($AH51=0,"",(VLOOKUP($AH51,'Пр.взв'!$D$6:$J$71,2,0)))</f>
        <v/>
      </c>
      <c r="AJ51" s="302" t="str">
        <f>IF($AH51=0,"",(VLOOKUP($AH51,'Пр.взв'!$D$6:$J$71,5,0)))</f>
        <v/>
      </c>
      <c r="AK51" s="302" t="str">
        <f>IF($AH51=0,"",(VLOOKUP($AH51,'Пр.взв'!$D$6:$J$71,6,0)))</f>
        <v/>
      </c>
      <c r="AL51" s="302" t="str">
        <f>IF($AH51=0,"",(VLOOKUP($AH51,'Пр.взв'!$D$6:$M$71,8,0)))</f>
        <v/>
      </c>
      <c r="AM51" s="304" t="str">
        <f>IF(AH51=0,"", IF(AH52=0,"СВОБОДЕН",""))</f>
        <v/>
      </c>
      <c r="AN51" s="304"/>
      <c r="AO51" s="304"/>
      <c r="AP51" s="305"/>
    </row>
    <row r="52" ht="27.75" customHeight="1">
      <c r="A52" s="361">
        <v>48.0</v>
      </c>
      <c r="B52" s="348">
        <f t="shared" si="1"/>
        <v>13.5</v>
      </c>
      <c r="C52" s="356"/>
      <c r="D52" s="307" t="str">
        <f>IF(C52=0,"",(VLOOKUP($C52,'Пр.взв'!$D$6:$J$76,2,0)))</f>
        <v/>
      </c>
      <c r="E52" s="307" t="str">
        <f>IF(C52=0,"",(VLOOKUP($C52,'Пр.взв'!$D$6:$J$76,5,0)))</f>
        <v/>
      </c>
      <c r="F52" s="307" t="str">
        <f>IF(C52=0,"",(VLOOKUP($C52,'Пр.взв'!$D$6:$M$76,6,0)))</f>
        <v/>
      </c>
      <c r="G52" s="307" t="str">
        <f>IF(C52=0,"",(VLOOKUP($C52,'Пр.взв'!$D$6:$M$76,8,0)))</f>
        <v/>
      </c>
      <c r="H52" s="309"/>
      <c r="I52" s="309"/>
      <c r="J52" s="309"/>
      <c r="K52" s="310"/>
      <c r="L52" s="361"/>
      <c r="M52" s="361">
        <f>IFERROR(__xludf.DUMMYFUNCTION("""COMPUTED_VALUE"""),13.5)</f>
        <v>13.5</v>
      </c>
      <c r="N52" s="356"/>
      <c r="O52" s="307" t="str">
        <f>IFERROR(__xludf.DUMMYFUNCTION("""COMPUTED_VALUE"""),"")</f>
        <v/>
      </c>
      <c r="P52" s="307" t="str">
        <f>IFERROR(__xludf.DUMMYFUNCTION("""COMPUTED_VALUE"""),"")</f>
        <v/>
      </c>
      <c r="Q52" s="307" t="str">
        <f>IFERROR(__xludf.DUMMYFUNCTION("""COMPUTED_VALUE"""),"")</f>
        <v/>
      </c>
      <c r="R52" s="307" t="str">
        <f>IFERROR(__xludf.DUMMYFUNCTION("""COMPUTED_VALUE"""),"")</f>
        <v/>
      </c>
      <c r="S52" s="309"/>
      <c r="T52" s="309"/>
      <c r="U52" s="309"/>
      <c r="V52" s="310"/>
      <c r="W52" s="355"/>
      <c r="X52" s="356"/>
      <c r="Y52" s="307"/>
      <c r="Z52" s="307"/>
      <c r="AA52" s="307"/>
      <c r="AB52" s="307"/>
      <c r="AC52" s="309"/>
      <c r="AD52" s="309"/>
      <c r="AE52" s="309"/>
      <c r="AF52" s="310"/>
      <c r="AG52" s="355"/>
      <c r="AH52" s="356"/>
      <c r="AI52" s="307" t="str">
        <f>IF($AH52=0,"",(VLOOKUP($AH52,'Пр.взв'!$D$6:$J$71,2,0)))</f>
        <v/>
      </c>
      <c r="AJ52" s="307" t="str">
        <f>IF($AH52=0,"",(VLOOKUP($AH52,'Пр.взв'!$D$6:$J$71,5,0)))</f>
        <v/>
      </c>
      <c r="AK52" s="307" t="str">
        <f>IF($AH52=0,"",(VLOOKUP($AH52,'Пр.взв'!$D$6:$J$71,6,0)))</f>
        <v/>
      </c>
      <c r="AL52" s="307" t="str">
        <f>IF($AH52=0,"",(VLOOKUP($AH52,'Пр.взв'!$D$6:$M$71,8,0)))</f>
        <v/>
      </c>
      <c r="AM52" s="309"/>
      <c r="AN52" s="309"/>
      <c r="AO52" s="309"/>
      <c r="AP52" s="310"/>
    </row>
    <row r="53" ht="27.75" customHeight="1">
      <c r="A53" s="361">
        <v>49.0</v>
      </c>
      <c r="B53" s="348">
        <f t="shared" si="1"/>
        <v>13.5</v>
      </c>
      <c r="C53" s="352"/>
      <c r="D53" s="302" t="str">
        <f>IF(C53=0,"",(VLOOKUP($C53,'Пр.взв'!$D$6:$J$76,2,0)))</f>
        <v/>
      </c>
      <c r="E53" s="302" t="str">
        <f>IF(C53=0,"",(VLOOKUP($C53,'Пр.взв'!$D$6:$J$76,5,0)))</f>
        <v/>
      </c>
      <c r="F53" s="302" t="str">
        <f>IF(C53=0,"",(VLOOKUP($C53,'Пр.взв'!$D$6:$M$76,6,0)))</f>
        <v/>
      </c>
      <c r="G53" s="302" t="str">
        <f>IF(C53=0,"",(VLOOKUP($C53,'Пр.взв'!$D$6:$M$76,8,0)))</f>
        <v/>
      </c>
      <c r="H53" s="304" t="str">
        <f>IF(C53=0,"", IF(C54=0,"СВОБОДЕН",""))</f>
        <v/>
      </c>
      <c r="I53" s="304"/>
      <c r="J53" s="304"/>
      <c r="K53" s="305"/>
      <c r="L53" s="361"/>
      <c r="M53" s="361">
        <f>IFERROR(__xludf.DUMMYFUNCTION("""COMPUTED_VALUE"""),13.5)</f>
        <v>13.5</v>
      </c>
      <c r="N53" s="352"/>
      <c r="O53" s="302" t="str">
        <f>IFERROR(__xludf.DUMMYFUNCTION("""COMPUTED_VALUE"""),"")</f>
        <v/>
      </c>
      <c r="P53" s="302" t="str">
        <f>IFERROR(__xludf.DUMMYFUNCTION("""COMPUTED_VALUE"""),"")</f>
        <v/>
      </c>
      <c r="Q53" s="302" t="str">
        <f>IFERROR(__xludf.DUMMYFUNCTION("""COMPUTED_VALUE"""),"")</f>
        <v/>
      </c>
      <c r="R53" s="302" t="str">
        <f>IFERROR(__xludf.DUMMYFUNCTION("""COMPUTED_VALUE"""),"")</f>
        <v/>
      </c>
      <c r="S53" s="304" t="str">
        <f>IFERROR(__xludf.DUMMYFUNCTION("""COMPUTED_VALUE"""),"")</f>
        <v/>
      </c>
      <c r="T53" s="304"/>
      <c r="U53" s="304"/>
      <c r="V53" s="305"/>
      <c r="W53" s="355"/>
      <c r="X53" s="352"/>
      <c r="Y53" s="302"/>
      <c r="Z53" s="302"/>
      <c r="AA53" s="302"/>
      <c r="AB53" s="302"/>
      <c r="AC53" s="304"/>
      <c r="AD53" s="304"/>
      <c r="AE53" s="304"/>
      <c r="AF53" s="305"/>
      <c r="AG53" s="355"/>
      <c r="AH53" s="352"/>
      <c r="AI53" s="302" t="str">
        <f>IF($AH53=0,"",(VLOOKUP($AH53,'Пр.взв'!$D$6:$J$71,2,0)))</f>
        <v/>
      </c>
      <c r="AJ53" s="302" t="str">
        <f>IF($AH53=0,"",(VLOOKUP($AH53,'Пр.взв'!$D$6:$J$71,5,0)))</f>
        <v/>
      </c>
      <c r="AK53" s="302" t="str">
        <f>IF($AH53=0,"",(VLOOKUP($AH53,'Пр.взв'!$D$6:$J$71,6,0)))</f>
        <v/>
      </c>
      <c r="AL53" s="302" t="str">
        <f>IF($AH53=0,"",(VLOOKUP($AH53,'Пр.взв'!$D$6:$M$71,8,0)))</f>
        <v/>
      </c>
      <c r="AM53" s="304" t="str">
        <f>IF(AH53=0,"", IF(AH54=0,"СВОБОДЕН",""))</f>
        <v/>
      </c>
      <c r="AN53" s="304"/>
      <c r="AO53" s="304"/>
      <c r="AP53" s="305"/>
    </row>
    <row r="54" ht="27.75" customHeight="1">
      <c r="A54" s="361">
        <v>50.0</v>
      </c>
      <c r="B54" s="348">
        <f t="shared" si="1"/>
        <v>13.5</v>
      </c>
      <c r="C54" s="356"/>
      <c r="D54" s="307" t="str">
        <f>IF(C54=0,"",(VLOOKUP($C54,'Пр.взв'!$D$6:$J$76,2,0)))</f>
        <v/>
      </c>
      <c r="E54" s="307" t="str">
        <f>IF(C54=0,"",(VLOOKUP($C54,'Пр.взв'!$D$6:$J$76,5,0)))</f>
        <v/>
      </c>
      <c r="F54" s="307" t="str">
        <f>IF(C54=0,"",(VLOOKUP($C54,'Пр.взв'!$D$6:$M$76,6,0)))</f>
        <v/>
      </c>
      <c r="G54" s="307" t="str">
        <f>IF(C54=0,"",(VLOOKUP($C54,'Пр.взв'!$D$6:$M$76,8,0)))</f>
        <v/>
      </c>
      <c r="H54" s="309"/>
      <c r="I54" s="309"/>
      <c r="J54" s="309"/>
      <c r="K54" s="310"/>
      <c r="L54" s="361"/>
      <c r="M54" s="361">
        <f>IFERROR(__xludf.DUMMYFUNCTION("""COMPUTED_VALUE"""),13.5)</f>
        <v>13.5</v>
      </c>
      <c r="N54" s="356"/>
      <c r="O54" s="307" t="str">
        <f>IFERROR(__xludf.DUMMYFUNCTION("""COMPUTED_VALUE"""),"")</f>
        <v/>
      </c>
      <c r="P54" s="307" t="str">
        <f>IFERROR(__xludf.DUMMYFUNCTION("""COMPUTED_VALUE"""),"")</f>
        <v/>
      </c>
      <c r="Q54" s="307" t="str">
        <f>IFERROR(__xludf.DUMMYFUNCTION("""COMPUTED_VALUE"""),"")</f>
        <v/>
      </c>
      <c r="R54" s="307" t="str">
        <f>IFERROR(__xludf.DUMMYFUNCTION("""COMPUTED_VALUE"""),"")</f>
        <v/>
      </c>
      <c r="S54" s="309"/>
      <c r="T54" s="309"/>
      <c r="U54" s="309"/>
      <c r="V54" s="310"/>
      <c r="W54" s="355"/>
      <c r="X54" s="356"/>
      <c r="Y54" s="307"/>
      <c r="Z54" s="307"/>
      <c r="AA54" s="307"/>
      <c r="AB54" s="307"/>
      <c r="AC54" s="309"/>
      <c r="AD54" s="309"/>
      <c r="AE54" s="309"/>
      <c r="AF54" s="310"/>
      <c r="AG54" s="355"/>
      <c r="AH54" s="356"/>
      <c r="AI54" s="307" t="str">
        <f>IF($AH54=0,"",(VLOOKUP($AH54,'Пр.взв'!$D$6:$J$71,2,0)))</f>
        <v/>
      </c>
      <c r="AJ54" s="307" t="str">
        <f>IF($AH54=0,"",(VLOOKUP($AH54,'Пр.взв'!$D$6:$J$71,5,0)))</f>
        <v/>
      </c>
      <c r="AK54" s="307" t="str">
        <f>IF($AH54=0,"",(VLOOKUP($AH54,'Пр.взв'!$D$6:$J$71,6,0)))</f>
        <v/>
      </c>
      <c r="AL54" s="307" t="str">
        <f>IF($AH54=0,"",(VLOOKUP($AH54,'Пр.взв'!$D$6:$M$71,8,0)))</f>
        <v/>
      </c>
      <c r="AM54" s="309"/>
      <c r="AN54" s="309"/>
      <c r="AO54" s="309"/>
      <c r="AP54" s="310"/>
    </row>
    <row r="55" ht="27.75" customHeight="1">
      <c r="A55" s="361">
        <v>51.0</v>
      </c>
      <c r="B55" s="348">
        <f t="shared" si="1"/>
        <v>13.5</v>
      </c>
      <c r="C55" s="352"/>
      <c r="D55" s="302" t="str">
        <f>IF(C55=0,"",(VLOOKUP($C55,'Пр.взв'!$D$6:$J$76,2,0)))</f>
        <v/>
      </c>
      <c r="E55" s="302" t="str">
        <f>IF(C55=0,"",(VLOOKUP($C55,'Пр.взв'!$D$6:$J$76,5,0)))</f>
        <v/>
      </c>
      <c r="F55" s="302" t="str">
        <f>IF(C55=0,"",(VLOOKUP($C55,'Пр.взв'!$D$6:$M$76,6,0)))</f>
        <v/>
      </c>
      <c r="G55" s="302" t="str">
        <f>IF(C55=0,"",(VLOOKUP($C55,'Пр.взв'!$D$6:$M$76,8,0)))</f>
        <v/>
      </c>
      <c r="H55" s="304" t="str">
        <f>IF(C55=0,"", IF(C56=0,"СВОБОДЕН",""))</f>
        <v/>
      </c>
      <c r="I55" s="304"/>
      <c r="J55" s="304"/>
      <c r="K55" s="305"/>
      <c r="L55" s="361"/>
      <c r="M55" s="361">
        <f>IFERROR(__xludf.DUMMYFUNCTION("""COMPUTED_VALUE"""),13.5)</f>
        <v>13.5</v>
      </c>
      <c r="N55" s="352"/>
      <c r="O55" s="302" t="str">
        <f>IFERROR(__xludf.DUMMYFUNCTION("""COMPUTED_VALUE"""),"")</f>
        <v/>
      </c>
      <c r="P55" s="302" t="str">
        <f>IFERROR(__xludf.DUMMYFUNCTION("""COMPUTED_VALUE"""),"")</f>
        <v/>
      </c>
      <c r="Q55" s="302" t="str">
        <f>IFERROR(__xludf.DUMMYFUNCTION("""COMPUTED_VALUE"""),"")</f>
        <v/>
      </c>
      <c r="R55" s="302" t="str">
        <f>IFERROR(__xludf.DUMMYFUNCTION("""COMPUTED_VALUE"""),"")</f>
        <v/>
      </c>
      <c r="S55" s="304" t="str">
        <f>IFERROR(__xludf.DUMMYFUNCTION("""COMPUTED_VALUE"""),"")</f>
        <v/>
      </c>
      <c r="T55" s="304"/>
      <c r="U55" s="304"/>
      <c r="V55" s="305"/>
      <c r="W55" s="355"/>
      <c r="X55" s="352"/>
      <c r="Y55" s="302"/>
      <c r="Z55" s="302"/>
      <c r="AA55" s="302"/>
      <c r="AB55" s="302"/>
      <c r="AC55" s="304"/>
      <c r="AD55" s="304"/>
      <c r="AE55" s="304"/>
      <c r="AF55" s="305"/>
      <c r="AG55" s="355"/>
      <c r="AH55" s="352"/>
      <c r="AI55" s="302" t="str">
        <f>IF($AH55=0,"",(VLOOKUP($AH55,'Пр.взв'!$D$6:$J$71,2,0)))</f>
        <v/>
      </c>
      <c r="AJ55" s="302" t="str">
        <f>IF($AH55=0,"",(VLOOKUP($AH55,'Пр.взв'!$D$6:$J$71,5,0)))</f>
        <v/>
      </c>
      <c r="AK55" s="302" t="str">
        <f>IF($AH55=0,"",(VLOOKUP($AH55,'Пр.взв'!$D$6:$J$71,6,0)))</f>
        <v/>
      </c>
      <c r="AL55" s="302" t="str">
        <f>IF($AH55=0,"",(VLOOKUP($AH55,'Пр.взв'!$D$6:$M$71,8,0)))</f>
        <v/>
      </c>
      <c r="AM55" s="304" t="str">
        <f>IF(AH55=0,"", IF(AH56=0,"СВОБОДЕН",""))</f>
        <v/>
      </c>
      <c r="AN55" s="304"/>
      <c r="AO55" s="304"/>
      <c r="AP55" s="305"/>
    </row>
    <row r="56" ht="27.75" customHeight="1">
      <c r="A56" s="361">
        <v>52.0</v>
      </c>
      <c r="B56" s="348">
        <f t="shared" si="1"/>
        <v>13.5</v>
      </c>
      <c r="C56" s="356"/>
      <c r="D56" s="307" t="str">
        <f>IF(C56=0,"",(VLOOKUP($C56,'Пр.взв'!$D$6:$J$76,2,0)))</f>
        <v/>
      </c>
      <c r="E56" s="307" t="str">
        <f>IF(C56=0,"",(VLOOKUP($C56,'Пр.взв'!$D$6:$J$76,5,0)))</f>
        <v/>
      </c>
      <c r="F56" s="307" t="str">
        <f>IF(C56=0,"",(VLOOKUP($C56,'Пр.взв'!$D$6:$M$76,6,0)))</f>
        <v/>
      </c>
      <c r="G56" s="307" t="str">
        <f>IF(C56=0,"",(VLOOKUP($C56,'Пр.взв'!$D$6:$M$76,8,0)))</f>
        <v/>
      </c>
      <c r="H56" s="309"/>
      <c r="I56" s="309"/>
      <c r="J56" s="309"/>
      <c r="K56" s="310"/>
      <c r="L56" s="361"/>
      <c r="M56" s="361">
        <f>IFERROR(__xludf.DUMMYFUNCTION("""COMPUTED_VALUE"""),13.5)</f>
        <v>13.5</v>
      </c>
      <c r="N56" s="356"/>
      <c r="O56" s="307" t="str">
        <f>IFERROR(__xludf.DUMMYFUNCTION("""COMPUTED_VALUE"""),"")</f>
        <v/>
      </c>
      <c r="P56" s="307" t="str">
        <f>IFERROR(__xludf.DUMMYFUNCTION("""COMPUTED_VALUE"""),"")</f>
        <v/>
      </c>
      <c r="Q56" s="307" t="str">
        <f>IFERROR(__xludf.DUMMYFUNCTION("""COMPUTED_VALUE"""),"")</f>
        <v/>
      </c>
      <c r="R56" s="307" t="str">
        <f>IFERROR(__xludf.DUMMYFUNCTION("""COMPUTED_VALUE"""),"")</f>
        <v/>
      </c>
      <c r="S56" s="309"/>
      <c r="T56" s="309"/>
      <c r="U56" s="309"/>
      <c r="V56" s="310"/>
      <c r="W56" s="355"/>
      <c r="X56" s="356"/>
      <c r="Y56" s="307"/>
      <c r="Z56" s="307"/>
      <c r="AA56" s="307"/>
      <c r="AB56" s="307"/>
      <c r="AC56" s="309"/>
      <c r="AD56" s="309"/>
      <c r="AE56" s="309"/>
      <c r="AF56" s="310"/>
      <c r="AG56" s="355"/>
      <c r="AH56" s="356"/>
      <c r="AI56" s="307" t="str">
        <f>IF($AH56=0,"",(VLOOKUP($AH56,'Пр.взв'!$D$6:$J$71,2,0)))</f>
        <v/>
      </c>
      <c r="AJ56" s="307" t="str">
        <f>IF($AH56=0,"",(VLOOKUP($AH56,'Пр.взв'!$D$6:$J$71,5,0)))</f>
        <v/>
      </c>
      <c r="AK56" s="307" t="str">
        <f>IF($AH56=0,"",(VLOOKUP($AH56,'Пр.взв'!$D$6:$J$71,6,0)))</f>
        <v/>
      </c>
      <c r="AL56" s="307" t="str">
        <f>IF($AH56=0,"",(VLOOKUP($AH56,'Пр.взв'!$D$6:$M$71,8,0)))</f>
        <v/>
      </c>
      <c r="AM56" s="309"/>
      <c r="AN56" s="309"/>
      <c r="AO56" s="309"/>
      <c r="AP56" s="310"/>
    </row>
    <row r="57" ht="27.75" customHeight="1">
      <c r="A57" s="361">
        <v>53.0</v>
      </c>
      <c r="B57" s="348">
        <f t="shared" si="1"/>
        <v>13.5</v>
      </c>
      <c r="C57" s="352"/>
      <c r="D57" s="302" t="str">
        <f>IF(C57=0,"",(VLOOKUP($C57,'Пр.взв'!$D$6:$J$76,2,0)))</f>
        <v/>
      </c>
      <c r="E57" s="302" t="str">
        <f>IF(C57=0,"",(VLOOKUP($C57,'Пр.взв'!$D$6:$J$76,5,0)))</f>
        <v/>
      </c>
      <c r="F57" s="302" t="str">
        <f>IF(C57=0,"",(VLOOKUP($C57,'Пр.взв'!$D$6:$M$76,6,0)))</f>
        <v/>
      </c>
      <c r="G57" s="302" t="str">
        <f>IF(C57=0,"",(VLOOKUP($C57,'Пр.взв'!$D$6:$M$76,8,0)))</f>
        <v/>
      </c>
      <c r="H57" s="304" t="str">
        <f>IF(C57=0,"", IF(C58=0,"СВОБОДЕН",""))</f>
        <v/>
      </c>
      <c r="I57" s="304"/>
      <c r="J57" s="304"/>
      <c r="K57" s="305"/>
      <c r="L57" s="361"/>
      <c r="M57" s="361">
        <f>IFERROR(__xludf.DUMMYFUNCTION("""COMPUTED_VALUE"""),13.5)</f>
        <v>13.5</v>
      </c>
      <c r="N57" s="352"/>
      <c r="O57" s="302" t="str">
        <f>IFERROR(__xludf.DUMMYFUNCTION("""COMPUTED_VALUE"""),"")</f>
        <v/>
      </c>
      <c r="P57" s="302" t="str">
        <f>IFERROR(__xludf.DUMMYFUNCTION("""COMPUTED_VALUE"""),"")</f>
        <v/>
      </c>
      <c r="Q57" s="302" t="str">
        <f>IFERROR(__xludf.DUMMYFUNCTION("""COMPUTED_VALUE"""),"")</f>
        <v/>
      </c>
      <c r="R57" s="302" t="str">
        <f>IFERROR(__xludf.DUMMYFUNCTION("""COMPUTED_VALUE"""),"")</f>
        <v/>
      </c>
      <c r="S57" s="304" t="str">
        <f>IFERROR(__xludf.DUMMYFUNCTION("""COMPUTED_VALUE"""),"")</f>
        <v/>
      </c>
      <c r="T57" s="304"/>
      <c r="U57" s="304"/>
      <c r="V57" s="305"/>
      <c r="W57" s="355"/>
      <c r="X57" s="352"/>
      <c r="Y57" s="302"/>
      <c r="Z57" s="302"/>
      <c r="AA57" s="302"/>
      <c r="AB57" s="302"/>
      <c r="AC57" s="304"/>
      <c r="AD57" s="304"/>
      <c r="AE57" s="304"/>
      <c r="AF57" s="305"/>
      <c r="AG57" s="355"/>
      <c r="AH57" s="352"/>
      <c r="AI57" s="302" t="str">
        <f>IF($AH57=0,"",(VLOOKUP($AH57,'Пр.взв'!$D$6:$J$71,2,0)))</f>
        <v/>
      </c>
      <c r="AJ57" s="302" t="str">
        <f>IF($AH57=0,"",(VLOOKUP($AH57,'Пр.взв'!$D$6:$J$71,5,0)))</f>
        <v/>
      </c>
      <c r="AK57" s="302" t="str">
        <f>IF($AH57=0,"",(VLOOKUP($AH57,'Пр.взв'!$D$6:$J$71,6,0)))</f>
        <v/>
      </c>
      <c r="AL57" s="302" t="str">
        <f>IF($AH57=0,"",(VLOOKUP($AH57,'Пр.взв'!$D$6:$M$71,8,0)))</f>
        <v/>
      </c>
      <c r="AM57" s="304" t="str">
        <f>IF(AH57=0,"", IF(AH58=0,"СВОБОДЕН",""))</f>
        <v/>
      </c>
      <c r="AN57" s="304"/>
      <c r="AO57" s="304"/>
      <c r="AP57" s="305"/>
    </row>
    <row r="58" ht="27.75" customHeight="1">
      <c r="A58" s="361">
        <v>54.0</v>
      </c>
      <c r="B58" s="348">
        <f t="shared" si="1"/>
        <v>13.5</v>
      </c>
      <c r="C58" s="356"/>
      <c r="D58" s="307" t="str">
        <f>IF(C58=0,"",(VLOOKUP($C58,'Пр.взв'!$D$6:$J$76,2,0)))</f>
        <v/>
      </c>
      <c r="E58" s="307" t="str">
        <f>IF(C58=0,"",(VLOOKUP($C58,'Пр.взв'!$D$6:$J$76,5,0)))</f>
        <v/>
      </c>
      <c r="F58" s="307" t="str">
        <f>IF(C58=0,"",(VLOOKUP($C58,'Пр.взв'!$D$6:$M$76,6,0)))</f>
        <v/>
      </c>
      <c r="G58" s="307" t="str">
        <f>IF(C58=0,"",(VLOOKUP($C58,'Пр.взв'!$D$6:$M$76,8,0)))</f>
        <v/>
      </c>
      <c r="H58" s="309"/>
      <c r="I58" s="309"/>
      <c r="J58" s="309"/>
      <c r="K58" s="310"/>
      <c r="L58" s="361"/>
      <c r="M58" s="361">
        <f>IFERROR(__xludf.DUMMYFUNCTION("""COMPUTED_VALUE"""),13.5)</f>
        <v>13.5</v>
      </c>
      <c r="N58" s="356"/>
      <c r="O58" s="307" t="str">
        <f>IFERROR(__xludf.DUMMYFUNCTION("""COMPUTED_VALUE"""),"")</f>
        <v/>
      </c>
      <c r="P58" s="307" t="str">
        <f>IFERROR(__xludf.DUMMYFUNCTION("""COMPUTED_VALUE"""),"")</f>
        <v/>
      </c>
      <c r="Q58" s="307" t="str">
        <f>IFERROR(__xludf.DUMMYFUNCTION("""COMPUTED_VALUE"""),"")</f>
        <v/>
      </c>
      <c r="R58" s="307" t="str">
        <f>IFERROR(__xludf.DUMMYFUNCTION("""COMPUTED_VALUE"""),"")</f>
        <v/>
      </c>
      <c r="S58" s="309"/>
      <c r="T58" s="309"/>
      <c r="U58" s="309"/>
      <c r="V58" s="310"/>
      <c r="W58" s="355"/>
      <c r="X58" s="356"/>
      <c r="Y58" s="307"/>
      <c r="Z58" s="307"/>
      <c r="AA58" s="307"/>
      <c r="AB58" s="307"/>
      <c r="AC58" s="309"/>
      <c r="AD58" s="309"/>
      <c r="AE58" s="309"/>
      <c r="AF58" s="310"/>
      <c r="AG58" s="355"/>
      <c r="AH58" s="356"/>
      <c r="AI58" s="307" t="str">
        <f>IF($AH58=0,"",(VLOOKUP($AH58,'Пр.взв'!$D$6:$J$71,2,0)))</f>
        <v/>
      </c>
      <c r="AJ58" s="307" t="str">
        <f>IF($AH58=0,"",(VLOOKUP($AH58,'Пр.взв'!$D$6:$J$71,5,0)))</f>
        <v/>
      </c>
      <c r="AK58" s="307" t="str">
        <f>IF($AH58=0,"",(VLOOKUP($AH58,'Пр.взв'!$D$6:$J$71,6,0)))</f>
        <v/>
      </c>
      <c r="AL58" s="307" t="str">
        <f>IF($AH58=0,"",(VLOOKUP($AH58,'Пр.взв'!$D$6:$M$71,8,0)))</f>
        <v/>
      </c>
      <c r="AM58" s="309"/>
      <c r="AN58" s="309"/>
      <c r="AO58" s="309"/>
      <c r="AP58" s="310"/>
    </row>
    <row r="59" ht="27.75" customHeight="1">
      <c r="A59" s="361">
        <v>55.0</v>
      </c>
      <c r="B59" s="348">
        <f t="shared" si="1"/>
        <v>13.5</v>
      </c>
      <c r="C59" s="352"/>
      <c r="D59" s="302" t="str">
        <f>IF(C59=0,"",(VLOOKUP($C59,'Пр.взв'!$D$6:$J$76,2,0)))</f>
        <v/>
      </c>
      <c r="E59" s="302" t="str">
        <f>IF(C59=0,"",(VLOOKUP($C59,'Пр.взв'!$D$6:$J$76,5,0)))</f>
        <v/>
      </c>
      <c r="F59" s="302" t="str">
        <f>IF(C59=0,"",(VLOOKUP($C59,'Пр.взв'!$D$6:$M$76,6,0)))</f>
        <v/>
      </c>
      <c r="G59" s="302" t="str">
        <f>IF(C59=0,"",(VLOOKUP($C59,'Пр.взв'!$D$6:$M$76,8,0)))</f>
        <v/>
      </c>
      <c r="H59" s="304" t="str">
        <f>IF(C59=0,"", IF(C60=0,"СВОБОДЕН",""))</f>
        <v/>
      </c>
      <c r="I59" s="304"/>
      <c r="J59" s="304"/>
      <c r="K59" s="305"/>
      <c r="L59" s="361"/>
      <c r="M59" s="361">
        <f>IFERROR(__xludf.DUMMYFUNCTION("""COMPUTED_VALUE"""),13.5)</f>
        <v>13.5</v>
      </c>
      <c r="N59" s="352"/>
      <c r="O59" s="302" t="str">
        <f>IFERROR(__xludf.DUMMYFUNCTION("""COMPUTED_VALUE"""),"")</f>
        <v/>
      </c>
      <c r="P59" s="302" t="str">
        <f>IFERROR(__xludf.DUMMYFUNCTION("""COMPUTED_VALUE"""),"")</f>
        <v/>
      </c>
      <c r="Q59" s="302" t="str">
        <f>IFERROR(__xludf.DUMMYFUNCTION("""COMPUTED_VALUE"""),"")</f>
        <v/>
      </c>
      <c r="R59" s="302" t="str">
        <f>IFERROR(__xludf.DUMMYFUNCTION("""COMPUTED_VALUE"""),"")</f>
        <v/>
      </c>
      <c r="S59" s="304" t="str">
        <f>IFERROR(__xludf.DUMMYFUNCTION("""COMPUTED_VALUE"""),"")</f>
        <v/>
      </c>
      <c r="T59" s="304"/>
      <c r="U59" s="304"/>
      <c r="V59" s="305"/>
      <c r="W59" s="355"/>
      <c r="X59" s="352"/>
      <c r="Y59" s="302"/>
      <c r="Z59" s="302"/>
      <c r="AA59" s="302"/>
      <c r="AB59" s="302"/>
      <c r="AC59" s="304"/>
      <c r="AD59" s="304"/>
      <c r="AE59" s="304"/>
      <c r="AF59" s="305"/>
      <c r="AG59" s="355"/>
      <c r="AH59" s="352"/>
      <c r="AI59" s="302" t="str">
        <f>IF($AH59=0,"",(VLOOKUP($AH59,'Пр.взв'!$D$6:$J$71,2,0)))</f>
        <v/>
      </c>
      <c r="AJ59" s="302" t="str">
        <f>IF($AH59=0,"",(VLOOKUP($AH59,'Пр.взв'!$D$6:$J$71,5,0)))</f>
        <v/>
      </c>
      <c r="AK59" s="302" t="str">
        <f>IF($AH59=0,"",(VLOOKUP($AH59,'Пр.взв'!$D$6:$J$71,6,0)))</f>
        <v/>
      </c>
      <c r="AL59" s="302" t="str">
        <f>IF($AH59=0,"",(VLOOKUP($AH59,'Пр.взв'!$D$6:$M$71,8,0)))</f>
        <v/>
      </c>
      <c r="AM59" s="304" t="str">
        <f>IF(AH59=0,"", IF(AH60=0,"СВОБОДЕН",""))</f>
        <v/>
      </c>
      <c r="AN59" s="304"/>
      <c r="AO59" s="304"/>
      <c r="AP59" s="305"/>
    </row>
    <row r="60" ht="27.75" customHeight="1">
      <c r="A60" s="361">
        <v>56.0</v>
      </c>
      <c r="B60" s="348">
        <f t="shared" si="1"/>
        <v>13.5</v>
      </c>
      <c r="C60" s="356"/>
      <c r="D60" s="307" t="str">
        <f>IF(C60=0,"",(VLOOKUP($C60,'Пр.взв'!$D$6:$J$76,2,0)))</f>
        <v/>
      </c>
      <c r="E60" s="307" t="str">
        <f>IF(C60=0,"",(VLOOKUP($C60,'Пр.взв'!$D$6:$J$76,5,0)))</f>
        <v/>
      </c>
      <c r="F60" s="307" t="str">
        <f>IF(C60=0,"",(VLOOKUP($C60,'Пр.взв'!$D$6:$M$76,6,0)))</f>
        <v/>
      </c>
      <c r="G60" s="307" t="str">
        <f>IF(C60=0,"",(VLOOKUP($C60,'Пр.взв'!$D$6:$M$76,8,0)))</f>
        <v/>
      </c>
      <c r="H60" s="309"/>
      <c r="I60" s="309"/>
      <c r="J60" s="309"/>
      <c r="K60" s="310"/>
      <c r="L60" s="361"/>
      <c r="M60" s="361">
        <f>IFERROR(__xludf.DUMMYFUNCTION("""COMPUTED_VALUE"""),13.5)</f>
        <v>13.5</v>
      </c>
      <c r="N60" s="356"/>
      <c r="O60" s="307" t="str">
        <f>IFERROR(__xludf.DUMMYFUNCTION("""COMPUTED_VALUE"""),"")</f>
        <v/>
      </c>
      <c r="P60" s="307" t="str">
        <f>IFERROR(__xludf.DUMMYFUNCTION("""COMPUTED_VALUE"""),"")</f>
        <v/>
      </c>
      <c r="Q60" s="307" t="str">
        <f>IFERROR(__xludf.DUMMYFUNCTION("""COMPUTED_VALUE"""),"")</f>
        <v/>
      </c>
      <c r="R60" s="307" t="str">
        <f>IFERROR(__xludf.DUMMYFUNCTION("""COMPUTED_VALUE"""),"")</f>
        <v/>
      </c>
      <c r="S60" s="309"/>
      <c r="T60" s="309"/>
      <c r="U60" s="309"/>
      <c r="V60" s="310"/>
      <c r="W60" s="355"/>
      <c r="X60" s="356"/>
      <c r="Y60" s="307"/>
      <c r="Z60" s="307"/>
      <c r="AA60" s="307"/>
      <c r="AB60" s="307"/>
      <c r="AC60" s="309"/>
      <c r="AD60" s="309"/>
      <c r="AE60" s="309"/>
      <c r="AF60" s="310"/>
      <c r="AG60" s="355"/>
      <c r="AH60" s="356"/>
      <c r="AI60" s="307" t="str">
        <f>IF($AH60=0,"",(VLOOKUP($AH60,'Пр.взв'!$D$6:$J$71,2,0)))</f>
        <v/>
      </c>
      <c r="AJ60" s="307" t="str">
        <f>IF($AH60=0,"",(VLOOKUP($AH60,'Пр.взв'!$D$6:$J$71,5,0)))</f>
        <v/>
      </c>
      <c r="AK60" s="307" t="str">
        <f>IF($AH60=0,"",(VLOOKUP($AH60,'Пр.взв'!$D$6:$J$71,6,0)))</f>
        <v/>
      </c>
      <c r="AL60" s="307" t="str">
        <f>IF($AH60=0,"",(VLOOKUP($AH60,'Пр.взв'!$D$6:$M$71,8,0)))</f>
        <v/>
      </c>
      <c r="AM60" s="309"/>
      <c r="AN60" s="309"/>
      <c r="AO60" s="309"/>
      <c r="AP60" s="310"/>
    </row>
    <row r="61" ht="27.75" customHeight="1">
      <c r="A61" s="361">
        <v>57.0</v>
      </c>
      <c r="B61" s="348">
        <f t="shared" si="1"/>
        <v>13.5</v>
      </c>
      <c r="C61" s="352"/>
      <c r="D61" s="302" t="str">
        <f>IF(C61=0,"",(VLOOKUP($C61,'Пр.взв'!$D$6:$J$76,2,0)))</f>
        <v/>
      </c>
      <c r="E61" s="302" t="str">
        <f>IF(C61=0,"",(VLOOKUP($C61,'Пр.взв'!$D$6:$J$76,5,0)))</f>
        <v/>
      </c>
      <c r="F61" s="302" t="str">
        <f>IF(C61=0,"",(VLOOKUP($C61,'Пр.взв'!$D$6:$M$76,6,0)))</f>
        <v/>
      </c>
      <c r="G61" s="302" t="str">
        <f>IF(C61=0,"",(VLOOKUP($C61,'Пр.взв'!$D$6:$M$76,8,0)))</f>
        <v/>
      </c>
      <c r="H61" s="304" t="str">
        <f>IF(C61=0,"", IF(C62=0,"СВОБОДЕН",""))</f>
        <v/>
      </c>
      <c r="I61" s="304"/>
      <c r="J61" s="304"/>
      <c r="K61" s="305"/>
      <c r="L61" s="361"/>
      <c r="M61" s="361">
        <f>IFERROR(__xludf.DUMMYFUNCTION("""COMPUTED_VALUE"""),13.5)</f>
        <v>13.5</v>
      </c>
      <c r="N61" s="352"/>
      <c r="O61" s="302" t="str">
        <f>IFERROR(__xludf.DUMMYFUNCTION("""COMPUTED_VALUE"""),"")</f>
        <v/>
      </c>
      <c r="P61" s="302" t="str">
        <f>IFERROR(__xludf.DUMMYFUNCTION("""COMPUTED_VALUE"""),"")</f>
        <v/>
      </c>
      <c r="Q61" s="302" t="str">
        <f>IFERROR(__xludf.DUMMYFUNCTION("""COMPUTED_VALUE"""),"")</f>
        <v/>
      </c>
      <c r="R61" s="302" t="str">
        <f>IFERROR(__xludf.DUMMYFUNCTION("""COMPUTED_VALUE"""),"")</f>
        <v/>
      </c>
      <c r="S61" s="304" t="str">
        <f>IFERROR(__xludf.DUMMYFUNCTION("""COMPUTED_VALUE"""),"")</f>
        <v/>
      </c>
      <c r="T61" s="304"/>
      <c r="U61" s="304"/>
      <c r="V61" s="305"/>
      <c r="W61" s="355"/>
      <c r="X61" s="352"/>
      <c r="Y61" s="302"/>
      <c r="Z61" s="302"/>
      <c r="AA61" s="302"/>
      <c r="AB61" s="302"/>
      <c r="AC61" s="304"/>
      <c r="AD61" s="304"/>
      <c r="AE61" s="304"/>
      <c r="AF61" s="305"/>
      <c r="AG61" s="355"/>
      <c r="AH61" s="352"/>
      <c r="AI61" s="302" t="str">
        <f>IF($AH61=0,"",(VLOOKUP($AH61,'Пр.взв'!$D$6:$J$71,2,0)))</f>
        <v/>
      </c>
      <c r="AJ61" s="302" t="str">
        <f>IF($AH61=0,"",(VLOOKUP($AH61,'Пр.взв'!$D$6:$J$71,5,0)))</f>
        <v/>
      </c>
      <c r="AK61" s="302" t="str">
        <f>IF($AH61=0,"",(VLOOKUP($AH61,'Пр.взв'!$D$6:$J$71,6,0)))</f>
        <v/>
      </c>
      <c r="AL61" s="302" t="str">
        <f>IF($AH61=0,"",(VLOOKUP($AH61,'Пр.взв'!$D$6:$M$71,8,0)))</f>
        <v/>
      </c>
      <c r="AM61" s="304" t="str">
        <f>IF(AH61=0,"", IF(AH62=0,"СВОБОДЕН",""))</f>
        <v/>
      </c>
      <c r="AN61" s="304"/>
      <c r="AO61" s="304"/>
      <c r="AP61" s="305"/>
    </row>
    <row r="62" ht="27.75" customHeight="1">
      <c r="A62" s="361">
        <v>58.0</v>
      </c>
      <c r="B62" s="348">
        <f t="shared" si="1"/>
        <v>13.5</v>
      </c>
      <c r="C62" s="356"/>
      <c r="D62" s="307" t="str">
        <f>IF(C62=0,"",(VLOOKUP($C62,'Пр.взв'!$D$6:$J$76,2,0)))</f>
        <v/>
      </c>
      <c r="E62" s="307" t="str">
        <f>IF(C62=0,"",(VLOOKUP($C62,'Пр.взв'!$D$6:$J$76,5,0)))</f>
        <v/>
      </c>
      <c r="F62" s="307" t="str">
        <f>IF(C62=0,"",(VLOOKUP($C62,'Пр.взв'!$D$6:$M$76,6,0)))</f>
        <v/>
      </c>
      <c r="G62" s="307" t="str">
        <f>IF(C62=0,"",(VLOOKUP($C62,'Пр.взв'!$D$6:$M$76,8,0)))</f>
        <v/>
      </c>
      <c r="H62" s="309"/>
      <c r="I62" s="309"/>
      <c r="J62" s="309"/>
      <c r="K62" s="310"/>
      <c r="L62" s="361"/>
      <c r="M62" s="361">
        <f>IFERROR(__xludf.DUMMYFUNCTION("""COMPUTED_VALUE"""),13.5)</f>
        <v>13.5</v>
      </c>
      <c r="N62" s="356"/>
      <c r="O62" s="307" t="str">
        <f>IFERROR(__xludf.DUMMYFUNCTION("""COMPUTED_VALUE"""),"")</f>
        <v/>
      </c>
      <c r="P62" s="307" t="str">
        <f>IFERROR(__xludf.DUMMYFUNCTION("""COMPUTED_VALUE"""),"")</f>
        <v/>
      </c>
      <c r="Q62" s="307" t="str">
        <f>IFERROR(__xludf.DUMMYFUNCTION("""COMPUTED_VALUE"""),"")</f>
        <v/>
      </c>
      <c r="R62" s="307" t="str">
        <f>IFERROR(__xludf.DUMMYFUNCTION("""COMPUTED_VALUE"""),"")</f>
        <v/>
      </c>
      <c r="S62" s="309"/>
      <c r="T62" s="309"/>
      <c r="U62" s="309"/>
      <c r="V62" s="310"/>
      <c r="W62" s="355"/>
      <c r="X62" s="356"/>
      <c r="Y62" s="307"/>
      <c r="Z62" s="307"/>
      <c r="AA62" s="307"/>
      <c r="AB62" s="307"/>
      <c r="AC62" s="309"/>
      <c r="AD62" s="309"/>
      <c r="AE62" s="309"/>
      <c r="AF62" s="310"/>
      <c r="AG62" s="355"/>
      <c r="AH62" s="356"/>
      <c r="AI62" s="307" t="str">
        <f>IF($AH62=0,"",(VLOOKUP($AH62,'Пр.взв'!$D$6:$J$71,2,0)))</f>
        <v/>
      </c>
      <c r="AJ62" s="307" t="str">
        <f>IF($AH62=0,"",(VLOOKUP($AH62,'Пр.взв'!$D$6:$J$71,5,0)))</f>
        <v/>
      </c>
      <c r="AK62" s="307" t="str">
        <f>IF($AH62=0,"",(VLOOKUP($AH62,'Пр.взв'!$D$6:$J$71,6,0)))</f>
        <v/>
      </c>
      <c r="AL62" s="307" t="str">
        <f>IF($AH62=0,"",(VLOOKUP($AH62,'Пр.взв'!$D$6:$M$71,8,0)))</f>
        <v/>
      </c>
      <c r="AM62" s="309"/>
      <c r="AN62" s="309"/>
      <c r="AO62" s="309"/>
      <c r="AP62" s="310"/>
    </row>
    <row r="63" ht="27.75" customHeight="1">
      <c r="A63" s="361">
        <v>59.0</v>
      </c>
      <c r="B63" s="348">
        <f t="shared" si="1"/>
        <v>13.5</v>
      </c>
      <c r="C63" s="352"/>
      <c r="D63" s="302" t="str">
        <f>IF(C63=0,"",(VLOOKUP($C63,'Пр.взв'!$D$6:$J$76,2,0)))</f>
        <v/>
      </c>
      <c r="E63" s="302" t="str">
        <f>IF(C63=0,"",(VLOOKUP($C63,'Пр.взв'!$D$6:$J$76,5,0)))</f>
        <v/>
      </c>
      <c r="F63" s="302" t="str">
        <f>IF(C63=0,"",(VLOOKUP($C63,'Пр.взв'!$D$6:$M$76,6,0)))</f>
        <v/>
      </c>
      <c r="G63" s="302" t="str">
        <f>IF(C63=0,"",(VLOOKUP($C63,'Пр.взв'!$D$6:$M$76,8,0)))</f>
        <v/>
      </c>
      <c r="H63" s="304" t="str">
        <f>IF(C63=0,"", IF(C64=0,"СВОБОДЕН",""))</f>
        <v/>
      </c>
      <c r="I63" s="304"/>
      <c r="J63" s="304"/>
      <c r="K63" s="305"/>
      <c r="L63" s="361"/>
      <c r="M63" s="361">
        <f>IFERROR(__xludf.DUMMYFUNCTION("""COMPUTED_VALUE"""),13.5)</f>
        <v>13.5</v>
      </c>
      <c r="N63" s="352"/>
      <c r="O63" s="302" t="str">
        <f>IFERROR(__xludf.DUMMYFUNCTION("""COMPUTED_VALUE"""),"")</f>
        <v/>
      </c>
      <c r="P63" s="302" t="str">
        <f>IFERROR(__xludf.DUMMYFUNCTION("""COMPUTED_VALUE"""),"")</f>
        <v/>
      </c>
      <c r="Q63" s="302" t="str">
        <f>IFERROR(__xludf.DUMMYFUNCTION("""COMPUTED_VALUE"""),"")</f>
        <v/>
      </c>
      <c r="R63" s="302" t="str">
        <f>IFERROR(__xludf.DUMMYFUNCTION("""COMPUTED_VALUE"""),"")</f>
        <v/>
      </c>
      <c r="S63" s="304" t="str">
        <f>IFERROR(__xludf.DUMMYFUNCTION("""COMPUTED_VALUE"""),"")</f>
        <v/>
      </c>
      <c r="T63" s="304"/>
      <c r="U63" s="304"/>
      <c r="V63" s="305"/>
      <c r="W63" s="355"/>
      <c r="X63" s="352"/>
      <c r="Y63" s="302"/>
      <c r="Z63" s="302"/>
      <c r="AA63" s="302"/>
      <c r="AB63" s="302"/>
      <c r="AC63" s="304"/>
      <c r="AD63" s="304"/>
      <c r="AE63" s="304"/>
      <c r="AF63" s="305"/>
      <c r="AG63" s="355"/>
      <c r="AH63" s="352"/>
      <c r="AI63" s="302" t="str">
        <f>IF($AH63=0,"",(VLOOKUP($AH63,'Пр.взв'!$D$6:$J$71,2,0)))</f>
        <v/>
      </c>
      <c r="AJ63" s="302" t="str">
        <f>IF($AH63=0,"",(VLOOKUP($AH63,'Пр.взв'!$D$6:$J$71,5,0)))</f>
        <v/>
      </c>
      <c r="AK63" s="302" t="str">
        <f>IF($AH63=0,"",(VLOOKUP($AH63,'Пр.взв'!$D$6:$J$71,6,0)))</f>
        <v/>
      </c>
      <c r="AL63" s="302" t="str">
        <f>IF($AH63=0,"",(VLOOKUP($AH63,'Пр.взв'!$D$6:$M$71,8,0)))</f>
        <v/>
      </c>
      <c r="AM63" s="304" t="str">
        <f>IF(AH63=0,"", IF(AH64=0,"СВОБОДЕН",""))</f>
        <v/>
      </c>
      <c r="AN63" s="304"/>
      <c r="AO63" s="304"/>
      <c r="AP63" s="305"/>
    </row>
    <row r="64" ht="27.75" customHeight="1">
      <c r="A64" s="361">
        <v>60.0</v>
      </c>
      <c r="B64" s="348">
        <f t="shared" si="1"/>
        <v>13.5</v>
      </c>
      <c r="C64" s="356"/>
      <c r="D64" s="307" t="str">
        <f>IF(C64=0,"",(VLOOKUP($C64,'Пр.взв'!$D$6:$J$76,2,0)))</f>
        <v/>
      </c>
      <c r="E64" s="307" t="str">
        <f>IF(C64=0,"",(VLOOKUP($C64,'Пр.взв'!$D$6:$J$76,5,0)))</f>
        <v/>
      </c>
      <c r="F64" s="307" t="str">
        <f>IF(C64=0,"",(VLOOKUP($C64,'Пр.взв'!$D$6:$M$76,6,0)))</f>
        <v/>
      </c>
      <c r="G64" s="307" t="str">
        <f>IF(C64=0,"",(VLOOKUP($C64,'Пр.взв'!$D$6:$M$76,8,0)))</f>
        <v/>
      </c>
      <c r="H64" s="309"/>
      <c r="I64" s="309"/>
      <c r="J64" s="309"/>
      <c r="K64" s="310"/>
      <c r="L64" s="361"/>
      <c r="M64" s="361"/>
      <c r="N64" s="356"/>
      <c r="O64" s="307"/>
      <c r="P64" s="307"/>
      <c r="Q64" s="307"/>
      <c r="R64" s="307"/>
      <c r="S64" s="309"/>
      <c r="T64" s="309"/>
      <c r="U64" s="309"/>
      <c r="V64" s="310"/>
      <c r="W64" s="355"/>
      <c r="X64" s="356"/>
      <c r="Y64" s="307"/>
      <c r="Z64" s="307"/>
      <c r="AA64" s="307"/>
      <c r="AB64" s="307"/>
      <c r="AC64" s="309"/>
      <c r="AD64" s="309"/>
      <c r="AE64" s="309"/>
      <c r="AF64" s="310"/>
      <c r="AG64" s="355"/>
      <c r="AH64" s="356"/>
      <c r="AI64" s="307" t="str">
        <f>IF($AH64=0,"",(VLOOKUP($AH64,'Пр.взв'!$D$6:$J$71,2,0)))</f>
        <v/>
      </c>
      <c r="AJ64" s="307" t="str">
        <f>IF($AH64=0,"",(VLOOKUP($AH64,'Пр.взв'!$D$6:$J$71,5,0)))</f>
        <v/>
      </c>
      <c r="AK64" s="307" t="str">
        <f>IF($AH64=0,"",(VLOOKUP($AH64,'Пр.взв'!$D$6:$J$71,6,0)))</f>
        <v/>
      </c>
      <c r="AL64" s="307" t="str">
        <f>IF($AH64=0,"",(VLOOKUP($AH64,'Пр.взв'!$D$6:$M$71,8,0)))</f>
        <v/>
      </c>
      <c r="AM64" s="309"/>
      <c r="AN64" s="309"/>
      <c r="AO64" s="309"/>
      <c r="AP64" s="310"/>
    </row>
    <row r="65" ht="27.75" customHeight="1">
      <c r="A65" s="361">
        <v>61.0</v>
      </c>
      <c r="B65" s="348">
        <f t="shared" si="1"/>
        <v>13.5</v>
      </c>
      <c r="C65" s="352"/>
      <c r="D65" s="302" t="str">
        <f>IF(C65=0,"",(VLOOKUP($C65,'Пр.взв'!$D$6:$J$76,2,0)))</f>
        <v/>
      </c>
      <c r="E65" s="302" t="str">
        <f>IF(C65=0,"",(VLOOKUP($C65,'Пр.взв'!$D$6:$J$76,5,0)))</f>
        <v/>
      </c>
      <c r="F65" s="302" t="str">
        <f>IF(C65=0,"",(VLOOKUP($C65,'Пр.взв'!$D$6:$M$76,6,0)))</f>
        <v/>
      </c>
      <c r="G65" s="302" t="str">
        <f>IF(C65=0,"",(VLOOKUP($C65,'Пр.взв'!$D$6:$M$76,8,0)))</f>
        <v/>
      </c>
      <c r="H65" s="304" t="str">
        <f>IF(C65=0,"", IF(C66=0,"СВОБОДЕН",""))</f>
        <v/>
      </c>
      <c r="I65" s="304"/>
      <c r="J65" s="304"/>
      <c r="K65" s="305"/>
      <c r="L65" s="361"/>
      <c r="M65" s="361"/>
      <c r="N65" s="352"/>
      <c r="O65" s="302"/>
      <c r="P65" s="302"/>
      <c r="Q65" s="302"/>
      <c r="R65" s="302"/>
      <c r="S65" s="304"/>
      <c r="T65" s="304"/>
      <c r="U65" s="304"/>
      <c r="V65" s="305"/>
      <c r="W65" s="355"/>
      <c r="X65" s="352"/>
      <c r="Y65" s="302"/>
      <c r="Z65" s="302"/>
      <c r="AA65" s="302"/>
      <c r="AB65" s="302"/>
      <c r="AC65" s="304"/>
      <c r="AD65" s="304"/>
      <c r="AE65" s="304"/>
      <c r="AF65" s="305"/>
      <c r="AG65" s="355"/>
      <c r="AH65" s="352"/>
      <c r="AI65" s="302" t="str">
        <f>IF($AH65=0,"",(VLOOKUP($AH65,'Пр.взв'!$D$6:$J$71,2,0)))</f>
        <v/>
      </c>
      <c r="AJ65" s="302" t="str">
        <f>IF($AH65=0,"",(VLOOKUP($AH65,'Пр.взв'!$D$6:$J$71,5,0)))</f>
        <v/>
      </c>
      <c r="AK65" s="302" t="str">
        <f>IF($AH65=0,"",(VLOOKUP($AH65,'Пр.взв'!$D$6:$J$71,6,0)))</f>
        <v/>
      </c>
      <c r="AL65" s="302" t="str">
        <f>IF($AH65=0,"",(VLOOKUP($AH65,'Пр.взв'!$D$6:$M$71,8,0)))</f>
        <v/>
      </c>
      <c r="AM65" s="304" t="str">
        <f>IF(AH65=0,"", IF(AH66=0,"СВОБОДЕН",""))</f>
        <v/>
      </c>
      <c r="AN65" s="304"/>
      <c r="AO65" s="304"/>
      <c r="AP65" s="305"/>
    </row>
    <row r="66" ht="27.75" customHeight="1">
      <c r="A66" s="361">
        <v>62.0</v>
      </c>
      <c r="B66" s="348">
        <f t="shared" si="1"/>
        <v>13.5</v>
      </c>
      <c r="C66" s="356"/>
      <c r="D66" s="307" t="str">
        <f>IF(C66=0,"",(VLOOKUP($C66,'Пр.взв'!$D$6:$J$76,2,0)))</f>
        <v/>
      </c>
      <c r="E66" s="307" t="str">
        <f>IF(C66=0,"",(VLOOKUP($C66,'Пр.взв'!$D$6:$J$76,5,0)))</f>
        <v/>
      </c>
      <c r="F66" s="307" t="str">
        <f>IF(C66=0,"",(VLOOKUP($C66,'Пр.взв'!$D$6:$M$76,6,0)))</f>
        <v/>
      </c>
      <c r="G66" s="307" t="str">
        <f>IF(C66=0,"",(VLOOKUP($C66,'Пр.взв'!$D$6:$M$76,8,0)))</f>
        <v/>
      </c>
      <c r="H66" s="309"/>
      <c r="I66" s="309"/>
      <c r="J66" s="309"/>
      <c r="K66" s="310"/>
      <c r="L66" s="361"/>
      <c r="M66" s="361"/>
      <c r="N66" s="356"/>
      <c r="O66" s="307"/>
      <c r="P66" s="307"/>
      <c r="Q66" s="307"/>
      <c r="R66" s="307"/>
      <c r="S66" s="309"/>
      <c r="T66" s="309"/>
      <c r="U66" s="309"/>
      <c r="V66" s="310"/>
      <c r="W66" s="355"/>
      <c r="X66" s="356"/>
      <c r="Y66" s="307"/>
      <c r="Z66" s="307"/>
      <c r="AA66" s="307"/>
      <c r="AB66" s="307"/>
      <c r="AC66" s="309"/>
      <c r="AD66" s="309"/>
      <c r="AE66" s="309"/>
      <c r="AF66" s="310"/>
      <c r="AG66" s="355"/>
      <c r="AH66" s="356"/>
      <c r="AI66" s="307" t="str">
        <f>IF($AH66=0,"",(VLOOKUP($AH66,'Пр.взв'!$D$6:$J$71,2,0)))</f>
        <v/>
      </c>
      <c r="AJ66" s="307" t="str">
        <f>IF($AH66=0,"",(VLOOKUP($AH66,'Пр.взв'!$D$6:$J$71,5,0)))</f>
        <v/>
      </c>
      <c r="AK66" s="307" t="str">
        <f>IF($AH66=0,"",(VLOOKUP($AH66,'Пр.взв'!$D$6:$J$71,6,0)))</f>
        <v/>
      </c>
      <c r="AL66" s="307" t="str">
        <f>IF($AH66=0,"",(VLOOKUP($AH66,'Пр.взв'!$D$6:$M$71,8,0)))</f>
        <v/>
      </c>
      <c r="AM66" s="309"/>
      <c r="AN66" s="309"/>
      <c r="AO66" s="309"/>
      <c r="AP66" s="310"/>
    </row>
    <row r="67" ht="27.75" customHeight="1">
      <c r="A67" s="361">
        <v>63.0</v>
      </c>
      <c r="B67" s="348">
        <f t="shared" si="1"/>
        <v>13.5</v>
      </c>
      <c r="C67" s="352"/>
      <c r="D67" s="302" t="str">
        <f>IF(C67=0,"",(VLOOKUP($C67,'Пр.взв'!$D$6:$J$76,2,0)))</f>
        <v/>
      </c>
      <c r="E67" s="302" t="str">
        <f>IF(C67=0,"",(VLOOKUP($C67,'Пр.взв'!$D$6:$J$76,5,0)))</f>
        <v/>
      </c>
      <c r="F67" s="302" t="str">
        <f>IF(C67=0,"",(VLOOKUP($C67,'Пр.взв'!$D$6:$M$76,6,0)))</f>
        <v/>
      </c>
      <c r="G67" s="302" t="str">
        <f>IF(C67=0,"",(VLOOKUP($C67,'Пр.взв'!$D$6:$M$76,8,0)))</f>
        <v/>
      </c>
      <c r="H67" s="304" t="str">
        <f>IF(C67=0,"", IF(C68=0,"СВОБОДЕН",""))</f>
        <v/>
      </c>
      <c r="I67" s="304"/>
      <c r="J67" s="304"/>
      <c r="K67" s="305"/>
      <c r="L67" s="361"/>
      <c r="M67" s="361"/>
      <c r="N67" s="352"/>
      <c r="O67" s="302"/>
      <c r="P67" s="302"/>
      <c r="Q67" s="302"/>
      <c r="R67" s="302"/>
      <c r="S67" s="304"/>
      <c r="T67" s="304"/>
      <c r="U67" s="304"/>
      <c r="V67" s="305"/>
      <c r="W67" s="355"/>
      <c r="X67" s="352"/>
      <c r="Y67" s="302"/>
      <c r="Z67" s="302"/>
      <c r="AA67" s="302"/>
      <c r="AB67" s="302"/>
      <c r="AC67" s="304"/>
      <c r="AD67" s="304"/>
      <c r="AE67" s="304"/>
      <c r="AF67" s="305"/>
      <c r="AG67" s="355"/>
      <c r="AH67" s="352"/>
      <c r="AI67" s="302" t="str">
        <f>IF($AH67=0,"",(VLOOKUP($AH67,'Пр.взв'!$D$6:$J$71,2,0)))</f>
        <v/>
      </c>
      <c r="AJ67" s="302" t="str">
        <f>IF($AH67=0,"",(VLOOKUP($AH67,'Пр.взв'!$D$6:$J$71,5,0)))</f>
        <v/>
      </c>
      <c r="AK67" s="302" t="str">
        <f>IF($AH67=0,"",(VLOOKUP($AH67,'Пр.взв'!$D$6:$J$71,6,0)))</f>
        <v/>
      </c>
      <c r="AL67" s="302" t="str">
        <f>IF($AH67=0,"",(VLOOKUP($AH67,'Пр.взв'!$D$6:$M$71,8,0)))</f>
        <v/>
      </c>
      <c r="AM67" s="304" t="str">
        <f>IF(AH67=0,"", IF(AH68=0,"СВОБОДЕН",""))</f>
        <v/>
      </c>
      <c r="AN67" s="304"/>
      <c r="AO67" s="304"/>
      <c r="AP67" s="305"/>
    </row>
    <row r="68" ht="27.75" customHeight="1">
      <c r="A68" s="361">
        <v>64.0</v>
      </c>
      <c r="B68" s="348">
        <f t="shared" si="1"/>
        <v>13.5</v>
      </c>
      <c r="C68" s="363"/>
      <c r="D68" s="307" t="str">
        <f>IF(C68=0,"",(VLOOKUP($C68,'Пр.взв'!$D$6:$J$76,2,0)))</f>
        <v/>
      </c>
      <c r="E68" s="307" t="str">
        <f>IF(C68=0,"",(VLOOKUP($C68,'Пр.взв'!$D$6:$J$76,5,0)))</f>
        <v/>
      </c>
      <c r="F68" s="307" t="str">
        <f>IF(C68=0,"",(VLOOKUP($C68,'Пр.взв'!$D$6:$M$76,6,0)))</f>
        <v/>
      </c>
      <c r="G68" s="307" t="str">
        <f>IF(C68=0,"",(VLOOKUP($C68,'Пр.взв'!$D$6:$M$76,8,0)))</f>
        <v/>
      </c>
      <c r="H68" s="309"/>
      <c r="I68" s="309"/>
      <c r="J68" s="309"/>
      <c r="K68" s="310"/>
      <c r="L68" s="361"/>
      <c r="M68" s="361"/>
      <c r="N68" s="363"/>
      <c r="O68" s="307"/>
      <c r="P68" s="307"/>
      <c r="Q68" s="307"/>
      <c r="R68" s="307"/>
      <c r="S68" s="309"/>
      <c r="T68" s="309"/>
      <c r="U68" s="309"/>
      <c r="V68" s="310"/>
      <c r="W68" s="355"/>
      <c r="X68" s="363"/>
      <c r="Y68" s="307"/>
      <c r="Z68" s="307"/>
      <c r="AA68" s="307"/>
      <c r="AB68" s="307"/>
      <c r="AC68" s="309"/>
      <c r="AD68" s="309"/>
      <c r="AE68" s="309"/>
      <c r="AF68" s="310"/>
      <c r="AG68" s="355"/>
      <c r="AH68" s="363"/>
      <c r="AI68" s="307" t="str">
        <f>IF($AH68=0,"",(VLOOKUP($AH68,'Пр.взв'!$D$6:$J$71,2,0)))</f>
        <v/>
      </c>
      <c r="AJ68" s="307" t="str">
        <f>IF($AH68=0,"",(VLOOKUP($AH68,'Пр.взв'!$D$6:$J$71,5,0)))</f>
        <v/>
      </c>
      <c r="AK68" s="307" t="str">
        <f>IF($AH68=0,"",(VLOOKUP($AH68,'Пр.взв'!$D$6:$J$71,6,0)))</f>
        <v/>
      </c>
      <c r="AL68" s="307" t="str">
        <f>IF($AH68=0,"",(VLOOKUP($AH68,'Пр.взв'!$D$6:$M$71,8,0)))</f>
        <v/>
      </c>
      <c r="AM68" s="309"/>
      <c r="AN68" s="309"/>
      <c r="AO68" s="309"/>
      <c r="AP68" s="310"/>
    </row>
    <row r="69" ht="27.75" customHeight="1">
      <c r="B69" s="348">
        <f t="shared" si="1"/>
        <v>13.5</v>
      </c>
      <c r="C69" s="352"/>
      <c r="D69" s="302" t="str">
        <f>IF(C69=0,"",(VLOOKUP($C69,'Пр.взв'!$D$6:$J$76,2,0)))</f>
        <v/>
      </c>
      <c r="E69" s="302" t="str">
        <f>IF(C69=0,"",(VLOOKUP($C69,'Пр.взв'!$D$6:$J$76,5,0)))</f>
        <v/>
      </c>
      <c r="F69" s="302" t="str">
        <f>IF(C69=0,"",(VLOOKUP($C69,'Пр.взв'!$D$6:$M$76,6,0)))</f>
        <v/>
      </c>
      <c r="G69" s="302" t="str">
        <f>IF(C69=0,"",(VLOOKUP($C69,'Пр.взв'!$D$6:$M$76,8,0)))</f>
        <v/>
      </c>
      <c r="H69" s="304" t="str">
        <f>IF(C69=0,"", IF(C70=0,"СВОБОДЕН",""))</f>
        <v/>
      </c>
      <c r="I69" s="304"/>
      <c r="J69" s="304"/>
      <c r="K69" s="305"/>
      <c r="X69" s="364"/>
      <c r="Y69" s="252"/>
      <c r="Z69" s="252"/>
      <c r="AA69" s="252"/>
      <c r="AB69" s="252"/>
      <c r="AC69" s="252"/>
      <c r="AH69" s="252"/>
    </row>
    <row r="70" ht="27.75" customHeight="1">
      <c r="B70" s="348">
        <f t="shared" si="1"/>
        <v>13.5</v>
      </c>
      <c r="C70" s="363"/>
      <c r="D70" s="307" t="str">
        <f>IF(C70=0,"",(VLOOKUP($C70,'Пр.взв'!$D$6:$J$76,2,0)))</f>
        <v/>
      </c>
      <c r="E70" s="307" t="str">
        <f>IF(C70=0,"",(VLOOKUP($C70,'Пр.взв'!$D$6:$J$76,5,0)))</f>
        <v/>
      </c>
      <c r="F70" s="307" t="str">
        <f>IF(C70=0,"",(VLOOKUP($C70,'Пр.взв'!$D$6:$M$76,6,0)))</f>
        <v/>
      </c>
      <c r="G70" s="307" t="str">
        <f>IF(C70=0,"",(VLOOKUP($C70,'Пр.взв'!$D$6:$M$76,8,0)))</f>
        <v/>
      </c>
      <c r="H70" s="309"/>
      <c r="I70" s="309"/>
      <c r="J70" s="309"/>
      <c r="K70" s="310"/>
      <c r="X70" s="364"/>
      <c r="Y70" s="252"/>
      <c r="Z70" s="252"/>
      <c r="AA70" s="252"/>
      <c r="AB70" s="252"/>
      <c r="AC70" s="252"/>
      <c r="AH70" s="252"/>
    </row>
    <row r="71" ht="27.75" customHeight="1">
      <c r="B71" s="348">
        <f t="shared" si="1"/>
        <v>13.5</v>
      </c>
      <c r="C71" s="352"/>
      <c r="D71" s="302" t="str">
        <f>IF(C71=0,"",(VLOOKUP($C71,'Пр.взв'!$D$6:$J$76,2,0)))</f>
        <v/>
      </c>
      <c r="E71" s="302" t="str">
        <f>IF(C71=0,"",(VLOOKUP($C71,'Пр.взв'!$D$6:$J$76,5,0)))</f>
        <v/>
      </c>
      <c r="F71" s="302" t="str">
        <f>IF(C71=0,"",(VLOOKUP($C71,'Пр.взв'!$D$6:$M$76,6,0)))</f>
        <v/>
      </c>
      <c r="G71" s="302" t="str">
        <f>IF(C71=0,"",(VLOOKUP($C71,'Пр.взв'!$D$6:$M$76,8,0)))</f>
        <v/>
      </c>
      <c r="H71" s="304" t="str">
        <f>IF(C71=0,"", IF(C72=0,"СВОБОДЕН",""))</f>
        <v/>
      </c>
      <c r="I71" s="304"/>
      <c r="J71" s="304"/>
      <c r="K71" s="305"/>
      <c r="X71" s="364"/>
      <c r="Y71" s="252"/>
      <c r="Z71" s="252"/>
      <c r="AA71" s="252"/>
      <c r="AB71" s="252"/>
      <c r="AC71" s="252"/>
      <c r="AH71" s="252"/>
    </row>
    <row r="72" ht="27.75" customHeight="1">
      <c r="B72" s="348">
        <f t="shared" si="1"/>
        <v>13.5</v>
      </c>
      <c r="C72" s="363"/>
      <c r="D72" s="307" t="str">
        <f>IF(C72=0,"",(VLOOKUP($C72,'Пр.взв'!$D$6:$J$76,2,0)))</f>
        <v/>
      </c>
      <c r="E72" s="307" t="str">
        <f>IF(C72=0,"",(VLOOKUP($C72,'Пр.взв'!$D$6:$J$76,5,0)))</f>
        <v/>
      </c>
      <c r="F72" s="307" t="str">
        <f>IF(C72=0,"",(VLOOKUP($C72,'Пр.взв'!$D$6:$M$76,6,0)))</f>
        <v/>
      </c>
      <c r="G72" s="307" t="str">
        <f>IF(C72=0,"",(VLOOKUP($C72,'Пр.взв'!$D$6:$M$76,8,0)))</f>
        <v/>
      </c>
      <c r="H72" s="309"/>
      <c r="I72" s="309"/>
      <c r="J72" s="309"/>
      <c r="K72" s="310"/>
      <c r="X72" s="364"/>
      <c r="Y72" s="252"/>
      <c r="Z72" s="252"/>
      <c r="AA72" s="252"/>
      <c r="AB72" s="252"/>
      <c r="AC72" s="252"/>
      <c r="AH72" s="252"/>
    </row>
    <row r="73" ht="27.75" customHeight="1">
      <c r="B73" s="348">
        <f t="shared" si="1"/>
        <v>13.5</v>
      </c>
      <c r="C73" s="352"/>
      <c r="D73" s="302" t="str">
        <f>IF(C73=0,"",(VLOOKUP($C73,'Пр.взв'!$D$6:$J$76,2,0)))</f>
        <v/>
      </c>
      <c r="E73" s="302" t="str">
        <f>IF(C73=0,"",(VLOOKUP($C73,'Пр.взв'!$D$6:$J$76,5,0)))</f>
        <v/>
      </c>
      <c r="F73" s="302" t="str">
        <f>IF(C73=0,"",(VLOOKUP($C73,'Пр.взв'!$D$6:$M$76,6,0)))</f>
        <v/>
      </c>
      <c r="G73" s="302" t="str">
        <f>IF(C73=0,"",(VLOOKUP($C73,'Пр.взв'!$D$6:$M$76,8,0)))</f>
        <v/>
      </c>
      <c r="H73" s="304" t="str">
        <f>IF(C73=0,"", IF(C74=0,"СВОБОДЕН",""))</f>
        <v/>
      </c>
      <c r="I73" s="304"/>
      <c r="J73" s="304"/>
      <c r="K73" s="305"/>
      <c r="X73" s="364"/>
      <c r="Y73" s="252"/>
      <c r="Z73" s="252"/>
      <c r="AA73" s="252"/>
      <c r="AB73" s="252"/>
      <c r="AC73" s="252"/>
      <c r="AH73" s="252"/>
    </row>
    <row r="74" ht="27.75" customHeight="1">
      <c r="B74" s="348">
        <f t="shared" si="1"/>
        <v>13.5</v>
      </c>
      <c r="C74" s="363"/>
      <c r="D74" s="307" t="str">
        <f>IF(C74=0,"",(VLOOKUP($C74,'Пр.взв'!$D$6:$J$76,2,0)))</f>
        <v/>
      </c>
      <c r="E74" s="307" t="str">
        <f>IF(C74=0,"",(VLOOKUP($C74,'Пр.взв'!$D$6:$J$76,5,0)))</f>
        <v/>
      </c>
      <c r="F74" s="307" t="str">
        <f>IF(C74=0,"",(VLOOKUP($C74,'Пр.взв'!$D$6:$M$76,6,0)))</f>
        <v/>
      </c>
      <c r="G74" s="307" t="str">
        <f>IF(C74=0,"",(VLOOKUP($C74,'Пр.взв'!$D$6:$M$76,8,0)))</f>
        <v/>
      </c>
      <c r="H74" s="309"/>
      <c r="I74" s="309"/>
      <c r="J74" s="309"/>
      <c r="K74" s="310"/>
      <c r="X74" s="364"/>
      <c r="Y74" s="252"/>
      <c r="Z74" s="252"/>
      <c r="AA74" s="252"/>
      <c r="AB74" s="252"/>
      <c r="AC74" s="252"/>
      <c r="AH74" s="252"/>
    </row>
    <row r="75" ht="27.75" customHeight="1">
      <c r="B75" s="348">
        <f t="shared" si="1"/>
        <v>13.5</v>
      </c>
      <c r="C75" s="352"/>
      <c r="D75" s="302" t="str">
        <f>IF(C75=0,"",(VLOOKUP($C75,'Пр.взв'!$D$6:$J$76,2,0)))</f>
        <v/>
      </c>
      <c r="E75" s="302" t="str">
        <f>IF(C75=0,"",(VLOOKUP($C75,'Пр.взв'!$D$6:$J$76,5,0)))</f>
        <v/>
      </c>
      <c r="F75" s="302" t="str">
        <f>IF(C75=0,"",(VLOOKUP($C75,'Пр.взв'!$D$6:$M$76,6,0)))</f>
        <v/>
      </c>
      <c r="G75" s="302" t="str">
        <f>IF(C75=0,"",(VLOOKUP($C75,'Пр.взв'!$D$6:$M$76,8,0)))</f>
        <v/>
      </c>
      <c r="H75" s="304" t="str">
        <f>IF(C75=0,"", IF(C76=0,"СВОБОДЕН",""))</f>
        <v/>
      </c>
      <c r="I75" s="304"/>
      <c r="J75" s="304"/>
      <c r="K75" s="305"/>
      <c r="X75" s="364"/>
      <c r="Y75" s="252"/>
      <c r="Z75" s="252"/>
      <c r="AA75" s="252"/>
      <c r="AB75" s="252"/>
      <c r="AC75" s="252"/>
      <c r="AH75" s="252"/>
    </row>
    <row r="76" ht="33.0" customHeight="1">
      <c r="C76" s="363"/>
      <c r="D76" s="307" t="str">
        <f>IF(C76=0,"",(VLOOKUP($C76,'Пр.взв'!$D$6:$J$76,2,0)))</f>
        <v/>
      </c>
      <c r="E76" s="307" t="str">
        <f>IF(C76=0,"",(VLOOKUP($C76,'Пр.взв'!$D$6:$J$76,5,0)))</f>
        <v/>
      </c>
      <c r="F76" s="307" t="str">
        <f>IF(C76=0,"",(VLOOKUP($C76,'Пр.взв'!$D$6:$M$76,6,0)))</f>
        <v/>
      </c>
      <c r="G76" s="307" t="str">
        <f>IF(C76=0,"",(VLOOKUP($C76,'Пр.взв'!$D$6:$M$76,8,0)))</f>
        <v/>
      </c>
      <c r="H76" s="309"/>
      <c r="I76" s="309"/>
      <c r="J76" s="309"/>
      <c r="K76" s="310"/>
      <c r="X76" s="364"/>
      <c r="Y76" s="252"/>
      <c r="Z76" s="252"/>
      <c r="AA76" s="252"/>
      <c r="AB76" s="252"/>
      <c r="AC76" s="252"/>
      <c r="AH76" s="252"/>
    </row>
    <row r="77">
      <c r="C77" s="252"/>
      <c r="X77" s="364"/>
      <c r="Y77" s="252"/>
      <c r="Z77" s="252"/>
      <c r="AA77" s="252"/>
      <c r="AB77" s="252"/>
      <c r="AC77" s="252"/>
      <c r="AH77" s="252"/>
    </row>
    <row r="78">
      <c r="C78" s="252"/>
      <c r="X78" s="364"/>
      <c r="Y78" s="252"/>
      <c r="Z78" s="252"/>
      <c r="AA78" s="252"/>
      <c r="AB78" s="252"/>
      <c r="AC78" s="252"/>
      <c r="AH78" s="252"/>
    </row>
    <row r="79">
      <c r="C79" s="252"/>
      <c r="X79" s="364"/>
      <c r="Y79" s="252"/>
      <c r="Z79" s="252"/>
      <c r="AA79" s="252"/>
      <c r="AB79" s="252"/>
      <c r="AC79" s="252"/>
      <c r="AH79" s="252"/>
    </row>
    <row r="80">
      <c r="C80" s="252"/>
      <c r="X80" s="364"/>
      <c r="Y80" s="252"/>
      <c r="Z80" s="252"/>
      <c r="AA80" s="252"/>
      <c r="AB80" s="252"/>
      <c r="AC80" s="252"/>
      <c r="AH80" s="252"/>
    </row>
    <row r="81">
      <c r="C81" s="252"/>
      <c r="X81" s="364"/>
      <c r="Y81" s="252"/>
      <c r="Z81" s="252"/>
      <c r="AA81" s="252"/>
      <c r="AB81" s="252"/>
      <c r="AC81" s="252"/>
      <c r="AH81" s="252"/>
    </row>
    <row r="82">
      <c r="C82" s="252"/>
      <c r="X82" s="364"/>
      <c r="Y82" s="252"/>
      <c r="Z82" s="252"/>
      <c r="AA82" s="252"/>
      <c r="AB82" s="252"/>
      <c r="AC82" s="252"/>
      <c r="AH82" s="252"/>
    </row>
    <row r="83">
      <c r="C83" s="252"/>
      <c r="X83" s="364"/>
      <c r="Y83" s="252"/>
      <c r="Z83" s="252"/>
      <c r="AA83" s="252"/>
      <c r="AB83" s="252"/>
      <c r="AC83" s="252"/>
      <c r="AH83" s="252"/>
    </row>
    <row r="84">
      <c r="C84" s="252"/>
      <c r="X84" s="364"/>
      <c r="Y84" s="252"/>
      <c r="Z84" s="252"/>
      <c r="AA84" s="252"/>
      <c r="AB84" s="252"/>
      <c r="AC84" s="252"/>
      <c r="AH84" s="252"/>
    </row>
    <row r="85">
      <c r="C85" s="252"/>
      <c r="X85" s="364"/>
      <c r="Y85" s="252"/>
      <c r="Z85" s="252"/>
      <c r="AA85" s="252"/>
      <c r="AB85" s="252"/>
      <c r="AC85" s="252"/>
      <c r="AH85" s="252"/>
    </row>
    <row r="86">
      <c r="C86" s="252"/>
      <c r="X86" s="364"/>
      <c r="Y86" s="252"/>
      <c r="Z86" s="252"/>
      <c r="AA86" s="252"/>
      <c r="AB86" s="252"/>
      <c r="AC86" s="252"/>
      <c r="AH86" s="252"/>
    </row>
    <row r="87">
      <c r="C87" s="252"/>
      <c r="X87" s="364"/>
      <c r="Y87" s="252"/>
      <c r="Z87" s="252"/>
      <c r="AA87" s="252"/>
      <c r="AB87" s="252"/>
      <c r="AC87" s="252"/>
      <c r="AH87" s="252"/>
    </row>
    <row r="88">
      <c r="C88" s="252"/>
      <c r="X88" s="364"/>
      <c r="Y88" s="252"/>
      <c r="Z88" s="252"/>
      <c r="AA88" s="252"/>
      <c r="AB88" s="252"/>
      <c r="AC88" s="252"/>
      <c r="AH88" s="252"/>
    </row>
    <row r="89">
      <c r="C89" s="252"/>
      <c r="X89" s="364"/>
      <c r="Y89" s="252"/>
      <c r="Z89" s="252"/>
      <c r="AA89" s="252"/>
      <c r="AB89" s="252"/>
      <c r="AC89" s="252"/>
      <c r="AH89" s="252"/>
    </row>
    <row r="90">
      <c r="C90" s="252"/>
      <c r="X90" s="364"/>
      <c r="Y90" s="252"/>
      <c r="Z90" s="252"/>
      <c r="AA90" s="252"/>
      <c r="AB90" s="252"/>
      <c r="AC90" s="252"/>
      <c r="AH90" s="252"/>
    </row>
    <row r="91">
      <c r="C91" s="252"/>
      <c r="X91" s="364"/>
      <c r="Y91" s="252"/>
      <c r="Z91" s="252"/>
      <c r="AA91" s="252"/>
      <c r="AB91" s="252"/>
      <c r="AC91" s="252"/>
      <c r="AH91" s="252"/>
    </row>
    <row r="92">
      <c r="C92" s="252"/>
      <c r="X92" s="364"/>
      <c r="Y92" s="252"/>
      <c r="Z92" s="252"/>
      <c r="AA92" s="252"/>
      <c r="AB92" s="252"/>
      <c r="AC92" s="252"/>
      <c r="AH92" s="252"/>
    </row>
    <row r="93">
      <c r="C93" s="252"/>
      <c r="X93" s="364"/>
      <c r="Y93" s="252"/>
      <c r="Z93" s="252"/>
      <c r="AA93" s="252"/>
      <c r="AB93" s="252"/>
      <c r="AC93" s="252"/>
      <c r="AH93" s="252"/>
    </row>
    <row r="94">
      <c r="C94" s="252"/>
      <c r="X94" s="364"/>
      <c r="Y94" s="252"/>
      <c r="Z94" s="252"/>
      <c r="AA94" s="252"/>
      <c r="AB94" s="252"/>
      <c r="AC94" s="252"/>
      <c r="AH94" s="252"/>
    </row>
    <row r="95">
      <c r="C95" s="252"/>
      <c r="X95" s="364"/>
      <c r="Y95" s="252"/>
      <c r="Z95" s="252"/>
      <c r="AA95" s="252"/>
      <c r="AB95" s="252"/>
      <c r="AC95" s="252"/>
      <c r="AH95" s="252"/>
    </row>
    <row r="96">
      <c r="C96" s="252"/>
      <c r="X96" s="364"/>
      <c r="Y96" s="252"/>
      <c r="Z96" s="252"/>
      <c r="AA96" s="252"/>
      <c r="AB96" s="252"/>
      <c r="AC96" s="252"/>
      <c r="AH96" s="252"/>
    </row>
    <row r="97">
      <c r="C97" s="252"/>
      <c r="X97" s="364"/>
      <c r="Y97" s="252"/>
      <c r="Z97" s="252"/>
      <c r="AA97" s="252"/>
      <c r="AB97" s="252"/>
      <c r="AC97" s="252"/>
      <c r="AH97" s="252"/>
    </row>
    <row r="98">
      <c r="C98" s="252"/>
      <c r="X98" s="364"/>
      <c r="Y98" s="252"/>
      <c r="Z98" s="252"/>
      <c r="AA98" s="252"/>
      <c r="AB98" s="252"/>
      <c r="AC98" s="252"/>
      <c r="AH98" s="252"/>
    </row>
    <row r="99">
      <c r="C99" s="252"/>
      <c r="X99" s="364"/>
      <c r="Y99" s="252"/>
      <c r="Z99" s="252"/>
      <c r="AA99" s="252"/>
      <c r="AB99" s="252"/>
      <c r="AC99" s="252"/>
      <c r="AH99" s="252"/>
    </row>
    <row r="100">
      <c r="C100" s="252"/>
      <c r="X100" s="364"/>
      <c r="Y100" s="252"/>
      <c r="Z100" s="252"/>
      <c r="AA100" s="252"/>
      <c r="AB100" s="252"/>
      <c r="AC100" s="252"/>
      <c r="AH100" s="252"/>
    </row>
    <row r="101">
      <c r="C101" s="252"/>
      <c r="X101" s="364"/>
      <c r="Y101" s="252"/>
      <c r="Z101" s="252"/>
      <c r="AA101" s="252"/>
      <c r="AB101" s="252"/>
      <c r="AC101" s="252"/>
      <c r="AH101" s="252"/>
    </row>
    <row r="102">
      <c r="C102" s="252"/>
      <c r="X102" s="364"/>
      <c r="Y102" s="252"/>
      <c r="Z102" s="252"/>
      <c r="AA102" s="252"/>
      <c r="AB102" s="252"/>
      <c r="AC102" s="252"/>
      <c r="AH102" s="252"/>
    </row>
    <row r="103">
      <c r="C103" s="252"/>
      <c r="X103" s="364"/>
      <c r="Y103" s="252"/>
      <c r="Z103" s="252"/>
      <c r="AA103" s="252"/>
      <c r="AB103" s="252"/>
      <c r="AC103" s="252"/>
      <c r="AH103" s="252"/>
    </row>
    <row r="104">
      <c r="C104" s="252"/>
      <c r="X104" s="364"/>
      <c r="Y104" s="252"/>
      <c r="Z104" s="252"/>
      <c r="AA104" s="252"/>
      <c r="AB104" s="252"/>
      <c r="AC104" s="252"/>
      <c r="AH104" s="252"/>
    </row>
    <row r="105">
      <c r="C105" s="252"/>
      <c r="X105" s="364"/>
      <c r="Y105" s="252"/>
      <c r="Z105" s="252"/>
      <c r="AA105" s="252"/>
      <c r="AB105" s="252"/>
      <c r="AC105" s="252"/>
      <c r="AH105" s="252"/>
    </row>
    <row r="106">
      <c r="C106" s="252"/>
      <c r="X106" s="364"/>
      <c r="Y106" s="252"/>
      <c r="Z106" s="252"/>
      <c r="AA106" s="252"/>
      <c r="AB106" s="252"/>
      <c r="AC106" s="252"/>
      <c r="AH106" s="252"/>
    </row>
    <row r="107">
      <c r="C107" s="252"/>
      <c r="X107" s="364"/>
      <c r="Y107" s="252"/>
      <c r="Z107" s="252"/>
      <c r="AA107" s="252"/>
      <c r="AB107" s="252"/>
      <c r="AC107" s="252"/>
      <c r="AH107" s="252"/>
    </row>
    <row r="108">
      <c r="C108" s="252"/>
      <c r="X108" s="364"/>
      <c r="Y108" s="252"/>
      <c r="Z108" s="252"/>
      <c r="AA108" s="252"/>
      <c r="AB108" s="252"/>
      <c r="AC108" s="252"/>
      <c r="AH108" s="252"/>
    </row>
    <row r="109">
      <c r="C109" s="252"/>
      <c r="X109" s="364"/>
      <c r="Y109" s="252"/>
      <c r="Z109" s="252"/>
      <c r="AA109" s="252"/>
      <c r="AB109" s="252"/>
      <c r="AC109" s="252"/>
      <c r="AH109" s="252"/>
    </row>
    <row r="110">
      <c r="C110" s="252"/>
      <c r="X110" s="364"/>
      <c r="Y110" s="252"/>
      <c r="Z110" s="252"/>
      <c r="AA110" s="252"/>
      <c r="AB110" s="252"/>
      <c r="AC110" s="252"/>
      <c r="AH110" s="252"/>
    </row>
    <row r="111">
      <c r="C111" s="252"/>
      <c r="X111" s="364"/>
      <c r="Y111" s="252"/>
      <c r="Z111" s="252"/>
      <c r="AA111" s="252"/>
      <c r="AB111" s="252"/>
      <c r="AC111" s="252"/>
      <c r="AH111" s="252"/>
    </row>
    <row r="112">
      <c r="C112" s="252"/>
      <c r="X112" s="364"/>
      <c r="Y112" s="252"/>
      <c r="Z112" s="252"/>
      <c r="AA112" s="252"/>
      <c r="AB112" s="252"/>
      <c r="AC112" s="252"/>
      <c r="AH112" s="252"/>
    </row>
    <row r="113">
      <c r="C113" s="252"/>
      <c r="X113" s="364"/>
      <c r="Y113" s="252"/>
      <c r="Z113" s="252"/>
      <c r="AA113" s="252"/>
      <c r="AB113" s="252"/>
      <c r="AC113" s="252"/>
      <c r="AH113" s="252"/>
    </row>
    <row r="114">
      <c r="C114" s="252"/>
      <c r="X114" s="364"/>
      <c r="Y114" s="252"/>
      <c r="Z114" s="252"/>
      <c r="AA114" s="252"/>
      <c r="AB114" s="252"/>
      <c r="AC114" s="252"/>
      <c r="AH114" s="252"/>
    </row>
    <row r="115">
      <c r="C115" s="252"/>
      <c r="X115" s="364"/>
      <c r="Y115" s="252"/>
      <c r="Z115" s="252"/>
      <c r="AA115" s="252"/>
      <c r="AB115" s="252"/>
      <c r="AC115" s="252"/>
      <c r="AH115" s="252"/>
    </row>
    <row r="116">
      <c r="C116" s="252"/>
      <c r="X116" s="364"/>
      <c r="Y116" s="252"/>
      <c r="Z116" s="252"/>
      <c r="AA116" s="252"/>
      <c r="AB116" s="252"/>
      <c r="AC116" s="252"/>
      <c r="AH116" s="252"/>
    </row>
    <row r="117">
      <c r="C117" s="252"/>
      <c r="X117" s="364"/>
      <c r="Y117" s="252"/>
      <c r="Z117" s="252"/>
      <c r="AA117" s="252"/>
      <c r="AB117" s="252"/>
      <c r="AC117" s="252"/>
      <c r="AH117" s="252"/>
    </row>
    <row r="118">
      <c r="C118" s="252"/>
      <c r="X118" s="364"/>
      <c r="Y118" s="252"/>
      <c r="Z118" s="252"/>
      <c r="AA118" s="252"/>
      <c r="AB118" s="252"/>
      <c r="AC118" s="252"/>
      <c r="AH118" s="252"/>
    </row>
    <row r="119">
      <c r="C119" s="252"/>
      <c r="X119" s="364"/>
      <c r="Y119" s="252"/>
      <c r="Z119" s="252"/>
      <c r="AA119" s="252"/>
      <c r="AB119" s="252"/>
      <c r="AC119" s="252"/>
      <c r="AH119" s="252"/>
    </row>
    <row r="120">
      <c r="C120" s="252"/>
      <c r="X120" s="364"/>
      <c r="Y120" s="252"/>
      <c r="Z120" s="252"/>
      <c r="AA120" s="252"/>
      <c r="AB120" s="252"/>
      <c r="AC120" s="252"/>
      <c r="AH120" s="252"/>
    </row>
    <row r="121">
      <c r="C121" s="252"/>
      <c r="X121" s="364"/>
      <c r="Y121" s="252"/>
      <c r="Z121" s="252"/>
      <c r="AA121" s="252"/>
      <c r="AB121" s="252"/>
      <c r="AC121" s="252"/>
      <c r="AH121" s="252"/>
    </row>
    <row r="122">
      <c r="C122" s="252"/>
      <c r="X122" s="364"/>
      <c r="Y122" s="252"/>
      <c r="Z122" s="252"/>
      <c r="AA122" s="252"/>
      <c r="AB122" s="252"/>
      <c r="AC122" s="252"/>
      <c r="AH122" s="252"/>
    </row>
    <row r="123">
      <c r="C123" s="252"/>
      <c r="X123" s="364"/>
      <c r="Y123" s="252"/>
      <c r="Z123" s="252"/>
      <c r="AA123" s="252"/>
      <c r="AB123" s="252"/>
      <c r="AC123" s="252"/>
      <c r="AH123" s="252"/>
    </row>
    <row r="124">
      <c r="C124" s="252"/>
      <c r="X124" s="364"/>
      <c r="Y124" s="252"/>
      <c r="Z124" s="252"/>
      <c r="AA124" s="252"/>
      <c r="AB124" s="252"/>
      <c r="AC124" s="252"/>
      <c r="AH124" s="252"/>
    </row>
    <row r="125">
      <c r="C125" s="252"/>
      <c r="X125" s="364"/>
      <c r="Y125" s="252"/>
      <c r="Z125" s="252"/>
      <c r="AA125" s="252"/>
      <c r="AB125" s="252"/>
      <c r="AC125" s="252"/>
      <c r="AH125" s="252"/>
    </row>
    <row r="126">
      <c r="C126" s="252"/>
      <c r="X126" s="364"/>
      <c r="Y126" s="252"/>
      <c r="Z126" s="252"/>
      <c r="AA126" s="252"/>
      <c r="AB126" s="252"/>
      <c r="AC126" s="252"/>
      <c r="AH126" s="252"/>
    </row>
    <row r="127">
      <c r="C127" s="252"/>
      <c r="X127" s="364"/>
      <c r="Y127" s="252"/>
      <c r="Z127" s="252"/>
      <c r="AA127" s="252"/>
      <c r="AB127" s="252"/>
      <c r="AC127" s="252"/>
      <c r="AH127" s="252"/>
    </row>
    <row r="128">
      <c r="C128" s="252"/>
      <c r="X128" s="364"/>
      <c r="Y128" s="252"/>
      <c r="Z128" s="252"/>
      <c r="AA128" s="252"/>
      <c r="AB128" s="252"/>
      <c r="AC128" s="252"/>
      <c r="AH128" s="252"/>
    </row>
    <row r="129">
      <c r="C129" s="252"/>
      <c r="X129" s="364"/>
      <c r="Y129" s="252"/>
      <c r="Z129" s="252"/>
      <c r="AA129" s="252"/>
      <c r="AB129" s="252"/>
      <c r="AC129" s="252"/>
      <c r="AH129" s="252"/>
    </row>
    <row r="130">
      <c r="C130" s="252"/>
      <c r="X130" s="364"/>
      <c r="Y130" s="252"/>
      <c r="Z130" s="252"/>
      <c r="AA130" s="252"/>
      <c r="AB130" s="252"/>
      <c r="AC130" s="252"/>
      <c r="AH130" s="252"/>
    </row>
    <row r="131">
      <c r="C131" s="252"/>
      <c r="X131" s="364"/>
      <c r="Y131" s="252"/>
      <c r="Z131" s="252"/>
      <c r="AA131" s="252"/>
      <c r="AB131" s="252"/>
      <c r="AC131" s="252"/>
      <c r="AH131" s="252"/>
    </row>
    <row r="132">
      <c r="C132" s="252"/>
      <c r="X132" s="364"/>
      <c r="Y132" s="252"/>
      <c r="Z132" s="252"/>
      <c r="AA132" s="252"/>
      <c r="AB132" s="252"/>
      <c r="AC132" s="252"/>
      <c r="AH132" s="252"/>
    </row>
    <row r="133">
      <c r="C133" s="252"/>
      <c r="X133" s="364"/>
      <c r="Y133" s="252"/>
      <c r="Z133" s="252"/>
      <c r="AA133" s="252"/>
      <c r="AB133" s="252"/>
      <c r="AC133" s="252"/>
      <c r="AH133" s="252"/>
    </row>
    <row r="134">
      <c r="C134" s="252"/>
      <c r="X134" s="364"/>
      <c r="Y134" s="252"/>
      <c r="Z134" s="252"/>
      <c r="AA134" s="252"/>
      <c r="AB134" s="252"/>
      <c r="AC134" s="252"/>
      <c r="AH134" s="252"/>
    </row>
    <row r="135">
      <c r="C135" s="252"/>
      <c r="X135" s="364"/>
      <c r="Y135" s="252"/>
      <c r="Z135" s="252"/>
      <c r="AA135" s="252"/>
      <c r="AB135" s="252"/>
      <c r="AC135" s="252"/>
      <c r="AH135" s="252"/>
    </row>
    <row r="136">
      <c r="C136" s="252"/>
      <c r="X136" s="364"/>
      <c r="Y136" s="252"/>
      <c r="Z136" s="252"/>
      <c r="AA136" s="252"/>
      <c r="AB136" s="252"/>
      <c r="AC136" s="252"/>
      <c r="AH136" s="252"/>
    </row>
    <row r="137">
      <c r="C137" s="252"/>
      <c r="X137" s="364"/>
      <c r="Y137" s="252"/>
      <c r="Z137" s="252"/>
      <c r="AA137" s="252"/>
      <c r="AB137" s="252"/>
      <c r="AC137" s="252"/>
      <c r="AH137" s="252"/>
    </row>
    <row r="138">
      <c r="C138" s="252"/>
      <c r="X138" s="364"/>
      <c r="Y138" s="252"/>
      <c r="Z138" s="252"/>
      <c r="AA138" s="252"/>
      <c r="AB138" s="252"/>
      <c r="AC138" s="252"/>
      <c r="AH138" s="252"/>
    </row>
    <row r="139">
      <c r="C139" s="252"/>
      <c r="X139" s="364"/>
      <c r="Y139" s="252"/>
      <c r="Z139" s="252"/>
      <c r="AA139" s="252"/>
      <c r="AB139" s="252"/>
      <c r="AC139" s="252"/>
      <c r="AH139" s="252"/>
    </row>
    <row r="140">
      <c r="C140" s="252"/>
      <c r="X140" s="364"/>
      <c r="Y140" s="252"/>
      <c r="Z140" s="252"/>
      <c r="AA140" s="252"/>
      <c r="AB140" s="252"/>
      <c r="AC140" s="252"/>
      <c r="AH140" s="252"/>
    </row>
    <row r="141">
      <c r="C141" s="252"/>
      <c r="X141" s="364"/>
      <c r="Y141" s="252"/>
      <c r="Z141" s="252"/>
      <c r="AA141" s="252"/>
      <c r="AB141" s="252"/>
      <c r="AC141" s="252"/>
      <c r="AH141" s="252"/>
    </row>
    <row r="142">
      <c r="C142" s="252"/>
      <c r="X142" s="364"/>
      <c r="Y142" s="252"/>
      <c r="Z142" s="252"/>
      <c r="AA142" s="252"/>
      <c r="AB142" s="252"/>
      <c r="AC142" s="252"/>
      <c r="AH142" s="252"/>
    </row>
    <row r="143">
      <c r="C143" s="252"/>
      <c r="X143" s="364"/>
      <c r="Y143" s="252"/>
      <c r="Z143" s="252"/>
      <c r="AA143" s="252"/>
      <c r="AB143" s="252"/>
      <c r="AC143" s="252"/>
      <c r="AH143" s="252"/>
    </row>
    <row r="144">
      <c r="C144" s="252"/>
      <c r="X144" s="364"/>
      <c r="Y144" s="252"/>
      <c r="Z144" s="252"/>
      <c r="AA144" s="252"/>
      <c r="AB144" s="252"/>
      <c r="AC144" s="252"/>
      <c r="AH144" s="252"/>
    </row>
    <row r="145">
      <c r="C145" s="252"/>
      <c r="X145" s="364"/>
      <c r="Y145" s="252"/>
      <c r="Z145" s="252"/>
      <c r="AA145" s="252"/>
      <c r="AB145" s="252"/>
      <c r="AC145" s="252"/>
      <c r="AH145" s="252"/>
    </row>
    <row r="146">
      <c r="C146" s="252"/>
      <c r="X146" s="364"/>
      <c r="Y146" s="252"/>
      <c r="Z146" s="252"/>
      <c r="AA146" s="252"/>
      <c r="AB146" s="252"/>
      <c r="AC146" s="252"/>
      <c r="AH146" s="252"/>
    </row>
    <row r="147">
      <c r="C147" s="252"/>
      <c r="X147" s="364"/>
      <c r="Y147" s="252"/>
      <c r="Z147" s="252"/>
      <c r="AA147" s="252"/>
      <c r="AB147" s="252"/>
      <c r="AC147" s="252"/>
      <c r="AH147" s="252"/>
    </row>
    <row r="148">
      <c r="C148" s="252"/>
      <c r="X148" s="364"/>
      <c r="Y148" s="252"/>
      <c r="Z148" s="252"/>
      <c r="AA148" s="252"/>
      <c r="AB148" s="252"/>
      <c r="AC148" s="252"/>
      <c r="AH148" s="252"/>
    </row>
    <row r="149">
      <c r="C149" s="252"/>
      <c r="X149" s="364"/>
      <c r="Y149" s="252"/>
      <c r="Z149" s="252"/>
      <c r="AA149" s="252"/>
      <c r="AB149" s="252"/>
      <c r="AC149" s="252"/>
      <c r="AH149" s="252"/>
    </row>
    <row r="150">
      <c r="C150" s="252"/>
      <c r="X150" s="364"/>
      <c r="Y150" s="252"/>
      <c r="Z150" s="252"/>
      <c r="AA150" s="252"/>
      <c r="AB150" s="252"/>
      <c r="AC150" s="252"/>
      <c r="AH150" s="252"/>
    </row>
    <row r="151">
      <c r="C151" s="252"/>
      <c r="X151" s="364"/>
      <c r="Y151" s="252"/>
      <c r="Z151" s="252"/>
      <c r="AA151" s="252"/>
      <c r="AB151" s="252"/>
      <c r="AC151" s="252"/>
      <c r="AH151" s="252"/>
    </row>
    <row r="152">
      <c r="C152" s="252"/>
      <c r="X152" s="364"/>
      <c r="Y152" s="252"/>
      <c r="Z152" s="252"/>
      <c r="AA152" s="252"/>
      <c r="AB152" s="252"/>
      <c r="AC152" s="252"/>
      <c r="AH152" s="252"/>
    </row>
    <row r="153">
      <c r="C153" s="252"/>
      <c r="X153" s="364"/>
      <c r="Y153" s="252"/>
      <c r="Z153" s="252"/>
      <c r="AA153" s="252"/>
      <c r="AB153" s="252"/>
      <c r="AC153" s="252"/>
      <c r="AH153" s="252"/>
    </row>
    <row r="154">
      <c r="C154" s="252"/>
      <c r="X154" s="364"/>
      <c r="Y154" s="252"/>
      <c r="Z154" s="252"/>
      <c r="AA154" s="252"/>
      <c r="AB154" s="252"/>
      <c r="AC154" s="252"/>
      <c r="AH154" s="252"/>
    </row>
    <row r="155">
      <c r="C155" s="252"/>
      <c r="X155" s="364"/>
      <c r="Y155" s="252"/>
      <c r="Z155" s="252"/>
      <c r="AA155" s="252"/>
      <c r="AB155" s="252"/>
      <c r="AC155" s="252"/>
      <c r="AH155" s="252"/>
    </row>
    <row r="156">
      <c r="C156" s="252"/>
      <c r="X156" s="364"/>
      <c r="Y156" s="252"/>
      <c r="Z156" s="252"/>
      <c r="AA156" s="252"/>
      <c r="AB156" s="252"/>
      <c r="AC156" s="252"/>
      <c r="AH156" s="252"/>
    </row>
    <row r="157">
      <c r="C157" s="252"/>
      <c r="X157" s="364"/>
      <c r="Y157" s="252"/>
      <c r="Z157" s="252"/>
      <c r="AA157" s="252"/>
      <c r="AB157" s="252"/>
      <c r="AC157" s="252"/>
      <c r="AH157" s="252"/>
    </row>
    <row r="158">
      <c r="C158" s="252"/>
      <c r="X158" s="364"/>
      <c r="Y158" s="252"/>
      <c r="Z158" s="252"/>
      <c r="AA158" s="252"/>
      <c r="AB158" s="252"/>
      <c r="AC158" s="252"/>
      <c r="AH158" s="252"/>
    </row>
    <row r="159">
      <c r="X159" s="364"/>
      <c r="Y159" s="252"/>
      <c r="Z159" s="252"/>
      <c r="AA159" s="252"/>
      <c r="AB159" s="252"/>
      <c r="AC159" s="252"/>
    </row>
    <row r="160">
      <c r="X160" s="364"/>
      <c r="Y160" s="252"/>
      <c r="Z160" s="252"/>
      <c r="AA160" s="252"/>
      <c r="AB160" s="252"/>
      <c r="AC160" s="252"/>
    </row>
    <row r="161">
      <c r="X161" s="364"/>
      <c r="Y161" s="252"/>
      <c r="Z161" s="252"/>
      <c r="AA161" s="252"/>
      <c r="AB161" s="252"/>
      <c r="AC161" s="252"/>
    </row>
    <row r="162">
      <c r="X162" s="364"/>
      <c r="Y162" s="252"/>
      <c r="Z162" s="252"/>
      <c r="AA162" s="252"/>
      <c r="AB162" s="252"/>
      <c r="AC162" s="252"/>
    </row>
    <row r="163">
      <c r="X163" s="364"/>
      <c r="Y163" s="252"/>
      <c r="Z163" s="252"/>
      <c r="AA163" s="252"/>
      <c r="AB163" s="252"/>
      <c r="AC163" s="252"/>
    </row>
    <row r="164">
      <c r="X164" s="364"/>
      <c r="Y164" s="252"/>
      <c r="Z164" s="252"/>
      <c r="AA164" s="252"/>
      <c r="AB164" s="252"/>
      <c r="AC164" s="252"/>
    </row>
    <row r="165">
      <c r="X165" s="364"/>
      <c r="Y165" s="252"/>
      <c r="Z165" s="252"/>
      <c r="AA165" s="252"/>
      <c r="AB165" s="252"/>
      <c r="AC165" s="252"/>
    </row>
    <row r="166">
      <c r="X166" s="364"/>
      <c r="Y166" s="252"/>
      <c r="Z166" s="252"/>
      <c r="AA166" s="252"/>
      <c r="AB166" s="252"/>
      <c r="AC166" s="252"/>
    </row>
    <row r="167">
      <c r="X167" s="364"/>
      <c r="Y167" s="252"/>
      <c r="Z167" s="252"/>
      <c r="AA167" s="252"/>
      <c r="AB167" s="252"/>
      <c r="AC167" s="252"/>
    </row>
    <row r="168">
      <c r="X168" s="364"/>
      <c r="Y168" s="252"/>
      <c r="Z168" s="252"/>
      <c r="AA168" s="252"/>
      <c r="AB168" s="252"/>
      <c r="AC168" s="252"/>
    </row>
    <row r="169">
      <c r="X169" s="364"/>
      <c r="Y169" s="252"/>
      <c r="Z169" s="252"/>
      <c r="AA169" s="252"/>
      <c r="AB169" s="252"/>
      <c r="AC169" s="252"/>
    </row>
    <row r="170">
      <c r="X170" s="364"/>
      <c r="Y170" s="252"/>
      <c r="Z170" s="252"/>
      <c r="AA170" s="252"/>
      <c r="AB170" s="252"/>
      <c r="AC170" s="252"/>
    </row>
    <row r="171">
      <c r="X171" s="364"/>
      <c r="Y171" s="252"/>
      <c r="Z171" s="252"/>
      <c r="AA171" s="252"/>
      <c r="AB171" s="252"/>
      <c r="AC171" s="252"/>
    </row>
    <row r="172">
      <c r="X172" s="364"/>
      <c r="Y172" s="252"/>
      <c r="Z172" s="252"/>
      <c r="AA172" s="252"/>
      <c r="AB172" s="252"/>
      <c r="AC172" s="252"/>
    </row>
    <row r="173">
      <c r="X173" s="364"/>
      <c r="Y173" s="252"/>
      <c r="Z173" s="252"/>
      <c r="AA173" s="252"/>
      <c r="AB173" s="252"/>
      <c r="AC173" s="252"/>
    </row>
    <row r="174">
      <c r="X174" s="364"/>
      <c r="Y174" s="252"/>
      <c r="Z174" s="252"/>
      <c r="AA174" s="252"/>
      <c r="AB174" s="252"/>
      <c r="AC174" s="252"/>
    </row>
    <row r="175">
      <c r="X175" s="364"/>
      <c r="Y175" s="252"/>
      <c r="Z175" s="252"/>
      <c r="AA175" s="252"/>
      <c r="AB175" s="252"/>
      <c r="AC175" s="252"/>
    </row>
    <row r="176">
      <c r="X176" s="364"/>
      <c r="Y176" s="252"/>
      <c r="Z176" s="252"/>
      <c r="AA176" s="252"/>
      <c r="AB176" s="252"/>
      <c r="AC176" s="252"/>
    </row>
    <row r="177">
      <c r="X177" s="364"/>
      <c r="Y177" s="252"/>
      <c r="Z177" s="252"/>
      <c r="AA177" s="252"/>
      <c r="AB177" s="252"/>
      <c r="AC177" s="252"/>
    </row>
    <row r="178">
      <c r="X178" s="364"/>
      <c r="Y178" s="252"/>
      <c r="Z178" s="252"/>
      <c r="AA178" s="252"/>
      <c r="AB178" s="252"/>
      <c r="AC178" s="252"/>
    </row>
    <row r="179">
      <c r="X179" s="364"/>
      <c r="Y179" s="252"/>
      <c r="Z179" s="252"/>
      <c r="AA179" s="252"/>
      <c r="AB179" s="252"/>
      <c r="AC179" s="252"/>
    </row>
    <row r="180">
      <c r="X180" s="364"/>
      <c r="Y180" s="252"/>
      <c r="Z180" s="252"/>
      <c r="AA180" s="252"/>
      <c r="AB180" s="252"/>
      <c r="AC180" s="252"/>
    </row>
    <row r="181">
      <c r="X181" s="364"/>
      <c r="Y181" s="252"/>
      <c r="Z181" s="252"/>
      <c r="AA181" s="252"/>
      <c r="AB181" s="252"/>
      <c r="AC181" s="252"/>
    </row>
    <row r="182">
      <c r="X182" s="364"/>
      <c r="Y182" s="252"/>
      <c r="Z182" s="252"/>
      <c r="AA182" s="252"/>
      <c r="AB182" s="252"/>
      <c r="AC182" s="252"/>
    </row>
    <row r="183">
      <c r="X183" s="364"/>
      <c r="Y183" s="252"/>
      <c r="Z183" s="252"/>
      <c r="AA183" s="252"/>
      <c r="AB183" s="252"/>
      <c r="AC183" s="252"/>
    </row>
    <row r="184">
      <c r="X184" s="364"/>
      <c r="Y184" s="252"/>
      <c r="Z184" s="252"/>
      <c r="AA184" s="252"/>
      <c r="AB184" s="252"/>
      <c r="AC184" s="252"/>
    </row>
    <row r="185">
      <c r="X185" s="364"/>
      <c r="Y185" s="252"/>
      <c r="Z185" s="252"/>
      <c r="AA185" s="252"/>
      <c r="AB185" s="252"/>
      <c r="AC185" s="252"/>
    </row>
    <row r="186">
      <c r="X186" s="364"/>
      <c r="Y186" s="252"/>
      <c r="Z186" s="252"/>
      <c r="AA186" s="252"/>
      <c r="AB186" s="252"/>
      <c r="AC186" s="252"/>
    </row>
    <row r="187">
      <c r="X187" s="364"/>
      <c r="Y187" s="252"/>
      <c r="Z187" s="252"/>
      <c r="AA187" s="252"/>
      <c r="AB187" s="252"/>
      <c r="AC187" s="252"/>
    </row>
    <row r="188">
      <c r="X188" s="364"/>
      <c r="Y188" s="252"/>
      <c r="Z188" s="252"/>
      <c r="AA188" s="252"/>
      <c r="AB188" s="252"/>
      <c r="AC188" s="252"/>
    </row>
    <row r="189">
      <c r="X189" s="364"/>
      <c r="Y189" s="252"/>
      <c r="Z189" s="252"/>
      <c r="AA189" s="252"/>
      <c r="AB189" s="252"/>
      <c r="AC189" s="252"/>
    </row>
    <row r="190">
      <c r="X190" s="364"/>
      <c r="Y190" s="252"/>
      <c r="Z190" s="252"/>
      <c r="AA190" s="252"/>
      <c r="AB190" s="252"/>
      <c r="AC190" s="252"/>
    </row>
    <row r="191">
      <c r="X191" s="364"/>
      <c r="Y191" s="252"/>
      <c r="Z191" s="252"/>
      <c r="AA191" s="252"/>
      <c r="AB191" s="252"/>
      <c r="AC191" s="252"/>
    </row>
    <row r="192">
      <c r="X192" s="364"/>
      <c r="Y192" s="252"/>
      <c r="Z192" s="252"/>
      <c r="AA192" s="252"/>
      <c r="AB192" s="252"/>
      <c r="AC192" s="252"/>
    </row>
    <row r="193">
      <c r="X193" s="364"/>
      <c r="Y193" s="252"/>
      <c r="Z193" s="252"/>
      <c r="AA193" s="252"/>
      <c r="AB193" s="252"/>
      <c r="AC193" s="252"/>
    </row>
    <row r="194">
      <c r="X194" s="364"/>
      <c r="Y194" s="252"/>
      <c r="Z194" s="252"/>
      <c r="AA194" s="252"/>
      <c r="AB194" s="252"/>
      <c r="AC194" s="252"/>
    </row>
    <row r="195">
      <c r="X195" s="364"/>
      <c r="Y195" s="252"/>
      <c r="Z195" s="252"/>
      <c r="AA195" s="252"/>
      <c r="AB195" s="252"/>
      <c r="AC195" s="252"/>
    </row>
    <row r="196">
      <c r="X196" s="364"/>
      <c r="Y196" s="252"/>
      <c r="Z196" s="252"/>
      <c r="AA196" s="252"/>
      <c r="AB196" s="252"/>
      <c r="AC196" s="252"/>
    </row>
    <row r="197">
      <c r="X197" s="364"/>
      <c r="Y197" s="252"/>
      <c r="Z197" s="252"/>
      <c r="AA197" s="252"/>
      <c r="AB197" s="252"/>
      <c r="AC197" s="252"/>
    </row>
    <row r="198">
      <c r="X198" s="364"/>
      <c r="Y198" s="252"/>
      <c r="Z198" s="252"/>
      <c r="AA198" s="252"/>
      <c r="AB198" s="252"/>
      <c r="AC198" s="252"/>
    </row>
    <row r="199">
      <c r="X199" s="364"/>
      <c r="Y199" s="252"/>
      <c r="Z199" s="252"/>
      <c r="AA199" s="252"/>
      <c r="AB199" s="252"/>
      <c r="AC199" s="252"/>
    </row>
    <row r="200">
      <c r="X200" s="364"/>
      <c r="Y200" s="252"/>
      <c r="Z200" s="252"/>
      <c r="AA200" s="252"/>
      <c r="AB200" s="252"/>
      <c r="AC200" s="252"/>
    </row>
    <row r="201">
      <c r="X201" s="364"/>
      <c r="Y201" s="252"/>
      <c r="Z201" s="252"/>
      <c r="AA201" s="252"/>
      <c r="AB201" s="252"/>
      <c r="AC201" s="252"/>
    </row>
    <row r="202">
      <c r="X202" s="364"/>
      <c r="Y202" s="252"/>
      <c r="Z202" s="252"/>
      <c r="AA202" s="252"/>
      <c r="AB202" s="252"/>
      <c r="AC202" s="252"/>
    </row>
    <row r="203">
      <c r="X203" s="364"/>
      <c r="Y203" s="252"/>
      <c r="Z203" s="252"/>
      <c r="AA203" s="252"/>
      <c r="AB203" s="252"/>
      <c r="AC203" s="252"/>
    </row>
    <row r="204">
      <c r="X204" s="364"/>
      <c r="Y204" s="252"/>
      <c r="Z204" s="252"/>
      <c r="AA204" s="252"/>
      <c r="AB204" s="252"/>
      <c r="AC204" s="252"/>
    </row>
    <row r="205">
      <c r="X205" s="364"/>
      <c r="Y205" s="252"/>
      <c r="Z205" s="252"/>
      <c r="AA205" s="252"/>
      <c r="AB205" s="252"/>
      <c r="AC205" s="252"/>
    </row>
    <row r="206">
      <c r="X206" s="364"/>
      <c r="Y206" s="252"/>
      <c r="Z206" s="252"/>
      <c r="AA206" s="252"/>
      <c r="AB206" s="252"/>
      <c r="AC206" s="252"/>
    </row>
    <row r="207">
      <c r="X207" s="364"/>
      <c r="Y207" s="252"/>
      <c r="Z207" s="252"/>
      <c r="AA207" s="252"/>
      <c r="AB207" s="252"/>
      <c r="AC207" s="252"/>
    </row>
    <row r="208">
      <c r="X208" s="364"/>
      <c r="Y208" s="252"/>
      <c r="Z208" s="252"/>
      <c r="AA208" s="252"/>
      <c r="AB208" s="252"/>
      <c r="AC208" s="252"/>
    </row>
    <row r="209">
      <c r="X209" s="364"/>
      <c r="Y209" s="252"/>
      <c r="Z209" s="252"/>
      <c r="AA209" s="252"/>
      <c r="AB209" s="252"/>
      <c r="AC209" s="252"/>
    </row>
    <row r="210">
      <c r="X210" s="364"/>
      <c r="Y210" s="252"/>
      <c r="Z210" s="252"/>
      <c r="AA210" s="252"/>
      <c r="AB210" s="252"/>
      <c r="AC210" s="252"/>
    </row>
    <row r="211">
      <c r="X211" s="364"/>
      <c r="Y211" s="252"/>
      <c r="Z211" s="252"/>
      <c r="AA211" s="252"/>
      <c r="AB211" s="252"/>
      <c r="AC211" s="252"/>
    </row>
    <row r="212">
      <c r="X212" s="364"/>
      <c r="Y212" s="252"/>
      <c r="Z212" s="252"/>
      <c r="AA212" s="252"/>
      <c r="AB212" s="252"/>
      <c r="AC212" s="252"/>
    </row>
    <row r="213">
      <c r="X213" s="364"/>
      <c r="Y213" s="252"/>
      <c r="Z213" s="252"/>
      <c r="AA213" s="252"/>
      <c r="AB213" s="252"/>
      <c r="AC213" s="252"/>
    </row>
    <row r="214">
      <c r="X214" s="364"/>
      <c r="Y214" s="252"/>
      <c r="Z214" s="252"/>
      <c r="AA214" s="252"/>
      <c r="AB214" s="252"/>
      <c r="AC214" s="252"/>
    </row>
    <row r="215">
      <c r="X215" s="364"/>
      <c r="Y215" s="252"/>
      <c r="Z215" s="252"/>
      <c r="AA215" s="252"/>
      <c r="AB215" s="252"/>
      <c r="AC215" s="252"/>
    </row>
    <row r="216">
      <c r="X216" s="364"/>
      <c r="Y216" s="252"/>
      <c r="Z216" s="252"/>
      <c r="AA216" s="252"/>
      <c r="AB216" s="252"/>
      <c r="AC216" s="252"/>
    </row>
    <row r="217">
      <c r="X217" s="364"/>
      <c r="Y217" s="252"/>
      <c r="Z217" s="252"/>
      <c r="AA217" s="252"/>
      <c r="AB217" s="252"/>
      <c r="AC217" s="252"/>
    </row>
    <row r="218">
      <c r="X218" s="364"/>
      <c r="Y218" s="252"/>
      <c r="Z218" s="252"/>
      <c r="AA218" s="252"/>
      <c r="AB218" s="252"/>
      <c r="AC218" s="252"/>
    </row>
    <row r="219">
      <c r="X219" s="364"/>
      <c r="Y219" s="252"/>
      <c r="Z219" s="252"/>
      <c r="AA219" s="252"/>
      <c r="AB219" s="252"/>
      <c r="AC219" s="252"/>
    </row>
    <row r="220">
      <c r="X220" s="364"/>
      <c r="Y220" s="252"/>
      <c r="Z220" s="252"/>
      <c r="AA220" s="252"/>
      <c r="AB220" s="252"/>
      <c r="AC220" s="252"/>
    </row>
    <row r="221">
      <c r="X221" s="364"/>
      <c r="Y221" s="252"/>
      <c r="Z221" s="252"/>
      <c r="AA221" s="252"/>
      <c r="AB221" s="252"/>
      <c r="AC221" s="252"/>
    </row>
    <row r="222">
      <c r="X222" s="364"/>
      <c r="Y222" s="252"/>
      <c r="Z222" s="252"/>
      <c r="AA222" s="252"/>
      <c r="AB222" s="252"/>
      <c r="AC222" s="252"/>
    </row>
    <row r="223">
      <c r="X223" s="364"/>
      <c r="Y223" s="252"/>
      <c r="Z223" s="252"/>
      <c r="AA223" s="252"/>
      <c r="AB223" s="252"/>
      <c r="AC223" s="252"/>
    </row>
    <row r="224">
      <c r="X224" s="364"/>
      <c r="Y224" s="252"/>
      <c r="Z224" s="252"/>
      <c r="AA224" s="252"/>
      <c r="AB224" s="252"/>
      <c r="AC224" s="252"/>
    </row>
    <row r="225">
      <c r="X225" s="364"/>
      <c r="Y225" s="252"/>
      <c r="Z225" s="252"/>
      <c r="AA225" s="252"/>
      <c r="AB225" s="252"/>
      <c r="AC225" s="252"/>
    </row>
    <row r="226">
      <c r="X226" s="364"/>
      <c r="Y226" s="252"/>
      <c r="Z226" s="252"/>
      <c r="AA226" s="252"/>
      <c r="AB226" s="252"/>
      <c r="AC226" s="252"/>
    </row>
    <row r="227">
      <c r="X227" s="364"/>
      <c r="Y227" s="252"/>
      <c r="Z227" s="252"/>
      <c r="AA227" s="252"/>
      <c r="AB227" s="252"/>
      <c r="AC227" s="252"/>
    </row>
    <row r="228">
      <c r="X228" s="364"/>
      <c r="Y228" s="252"/>
      <c r="Z228" s="252"/>
      <c r="AA228" s="252"/>
      <c r="AB228" s="252"/>
      <c r="AC228" s="252"/>
    </row>
    <row r="229">
      <c r="X229" s="364"/>
      <c r="Y229" s="252"/>
      <c r="Z229" s="252"/>
      <c r="AA229" s="252"/>
      <c r="AB229" s="252"/>
      <c r="AC229" s="252"/>
    </row>
    <row r="230">
      <c r="X230" s="364"/>
      <c r="Y230" s="252"/>
      <c r="Z230" s="252"/>
      <c r="AA230" s="252"/>
      <c r="AB230" s="252"/>
      <c r="AC230" s="252"/>
    </row>
    <row r="231">
      <c r="X231" s="364"/>
      <c r="Y231" s="252"/>
      <c r="Z231" s="252"/>
      <c r="AA231" s="252"/>
      <c r="AB231" s="252"/>
      <c r="AC231" s="252"/>
    </row>
    <row r="232">
      <c r="X232" s="364"/>
      <c r="Y232" s="252"/>
      <c r="Z232" s="252"/>
      <c r="AA232" s="252"/>
      <c r="AB232" s="252"/>
      <c r="AC232" s="252"/>
    </row>
    <row r="233">
      <c r="X233" s="364"/>
      <c r="Y233" s="252"/>
      <c r="Z233" s="252"/>
      <c r="AA233" s="252"/>
      <c r="AB233" s="252"/>
      <c r="AC233" s="252"/>
    </row>
    <row r="234">
      <c r="X234" s="364"/>
      <c r="Y234" s="252"/>
      <c r="Z234" s="252"/>
      <c r="AA234" s="252"/>
      <c r="AB234" s="252"/>
      <c r="AC234" s="252"/>
    </row>
    <row r="235">
      <c r="X235" s="364"/>
      <c r="Y235" s="252"/>
      <c r="Z235" s="252"/>
      <c r="AA235" s="252"/>
      <c r="AB235" s="252"/>
      <c r="AC235" s="252"/>
    </row>
    <row r="236">
      <c r="X236" s="364"/>
      <c r="Y236" s="252"/>
      <c r="Z236" s="252"/>
      <c r="AA236" s="252"/>
      <c r="AB236" s="252"/>
      <c r="AC236" s="252"/>
    </row>
    <row r="237">
      <c r="X237" s="364"/>
      <c r="Y237" s="252"/>
      <c r="Z237" s="252"/>
      <c r="AA237" s="252"/>
      <c r="AB237" s="252"/>
      <c r="AC237" s="252"/>
    </row>
    <row r="238">
      <c r="X238" s="364"/>
      <c r="Y238" s="252"/>
      <c r="Z238" s="252"/>
      <c r="AA238" s="252"/>
      <c r="AB238" s="252"/>
      <c r="AC238" s="252"/>
    </row>
    <row r="239">
      <c r="X239" s="364"/>
      <c r="Y239" s="252"/>
      <c r="Z239" s="252"/>
      <c r="AA239" s="252"/>
      <c r="AB239" s="252"/>
      <c r="AC239" s="252"/>
    </row>
    <row r="240">
      <c r="X240" s="364"/>
      <c r="Y240" s="252"/>
      <c r="Z240" s="252"/>
      <c r="AA240" s="252"/>
      <c r="AB240" s="252"/>
      <c r="AC240" s="252"/>
    </row>
    <row r="241">
      <c r="X241" s="364"/>
      <c r="Y241" s="252"/>
      <c r="Z241" s="252"/>
      <c r="AA241" s="252"/>
      <c r="AB241" s="252"/>
      <c r="AC241" s="252"/>
    </row>
    <row r="242">
      <c r="X242" s="364"/>
      <c r="Y242" s="252"/>
      <c r="Z242" s="252"/>
      <c r="AA242" s="252"/>
      <c r="AB242" s="252"/>
      <c r="AC242" s="252"/>
    </row>
    <row r="243">
      <c r="X243" s="364"/>
      <c r="Y243" s="252"/>
      <c r="Z243" s="252"/>
      <c r="AA243" s="252"/>
      <c r="AB243" s="252"/>
      <c r="AC243" s="252"/>
    </row>
    <row r="244">
      <c r="X244" s="364"/>
      <c r="Y244" s="252"/>
      <c r="Z244" s="252"/>
      <c r="AA244" s="252"/>
      <c r="AB244" s="252"/>
      <c r="AC244" s="252"/>
    </row>
    <row r="245">
      <c r="X245" s="364"/>
      <c r="Y245" s="252"/>
      <c r="Z245" s="252"/>
      <c r="AA245" s="252"/>
      <c r="AB245" s="252"/>
      <c r="AC245" s="252"/>
    </row>
    <row r="246">
      <c r="X246" s="364"/>
      <c r="Y246" s="252"/>
      <c r="Z246" s="252"/>
      <c r="AA246" s="252"/>
      <c r="AB246" s="252"/>
      <c r="AC246" s="252"/>
    </row>
    <row r="247">
      <c r="X247" s="364"/>
      <c r="Y247" s="252"/>
      <c r="Z247" s="252"/>
      <c r="AA247" s="252"/>
      <c r="AB247" s="252"/>
      <c r="AC247" s="252"/>
    </row>
    <row r="248">
      <c r="X248" s="364"/>
      <c r="Y248" s="252"/>
      <c r="Z248" s="252"/>
      <c r="AA248" s="252"/>
      <c r="AB248" s="252"/>
      <c r="AC248" s="252"/>
    </row>
    <row r="249">
      <c r="X249" s="364"/>
      <c r="Y249" s="252"/>
      <c r="Z249" s="252"/>
      <c r="AA249" s="252"/>
      <c r="AB249" s="252"/>
      <c r="AC249" s="252"/>
    </row>
    <row r="250">
      <c r="X250" s="364"/>
      <c r="Y250" s="252"/>
      <c r="Z250" s="252"/>
      <c r="AA250" s="252"/>
      <c r="AB250" s="252"/>
      <c r="AC250" s="252"/>
    </row>
    <row r="251">
      <c r="X251" s="364"/>
      <c r="Y251" s="252"/>
      <c r="Z251" s="252"/>
      <c r="AA251" s="252"/>
      <c r="AB251" s="252"/>
      <c r="AC251" s="252"/>
    </row>
    <row r="252">
      <c r="X252" s="364"/>
      <c r="Y252" s="252"/>
      <c r="Z252" s="252"/>
      <c r="AA252" s="252"/>
      <c r="AB252" s="252"/>
      <c r="AC252" s="252"/>
    </row>
    <row r="253">
      <c r="X253" s="364"/>
      <c r="Y253" s="252"/>
      <c r="Z253" s="252"/>
      <c r="AA253" s="252"/>
      <c r="AB253" s="252"/>
      <c r="AC253" s="252"/>
    </row>
    <row r="254">
      <c r="X254" s="364"/>
      <c r="Y254" s="252"/>
      <c r="Z254" s="252"/>
      <c r="AA254" s="252"/>
      <c r="AB254" s="252"/>
      <c r="AC254" s="252"/>
    </row>
    <row r="255">
      <c r="X255" s="364"/>
      <c r="Y255" s="252"/>
      <c r="Z255" s="252"/>
      <c r="AA255" s="252"/>
      <c r="AB255" s="252"/>
      <c r="AC255" s="252"/>
    </row>
    <row r="256">
      <c r="X256" s="364"/>
      <c r="Y256" s="252"/>
      <c r="Z256" s="252"/>
      <c r="AA256" s="252"/>
      <c r="AB256" s="252"/>
      <c r="AC256" s="252"/>
    </row>
    <row r="257">
      <c r="X257" s="364"/>
      <c r="Y257" s="252"/>
      <c r="Z257" s="252"/>
      <c r="AA257" s="252"/>
      <c r="AB257" s="252"/>
      <c r="AC257" s="252"/>
    </row>
    <row r="258">
      <c r="X258" s="364"/>
      <c r="Y258" s="252"/>
      <c r="Z258" s="252"/>
      <c r="AA258" s="252"/>
      <c r="AB258" s="252"/>
      <c r="AC258" s="252"/>
    </row>
    <row r="259">
      <c r="X259" s="364"/>
      <c r="Y259" s="252"/>
      <c r="Z259" s="252"/>
      <c r="AA259" s="252"/>
      <c r="AB259" s="252"/>
      <c r="AC259" s="252"/>
    </row>
    <row r="260">
      <c r="X260" s="364"/>
      <c r="Y260" s="252"/>
      <c r="Z260" s="252"/>
      <c r="AA260" s="252"/>
      <c r="AB260" s="252"/>
      <c r="AC260" s="252"/>
    </row>
    <row r="261">
      <c r="X261" s="364"/>
      <c r="Y261" s="252"/>
      <c r="Z261" s="252"/>
      <c r="AA261" s="252"/>
      <c r="AB261" s="252"/>
      <c r="AC261" s="252"/>
    </row>
    <row r="262">
      <c r="X262" s="364"/>
      <c r="Y262" s="252"/>
      <c r="Z262" s="252"/>
      <c r="AA262" s="252"/>
      <c r="AB262" s="252"/>
      <c r="AC262" s="252"/>
    </row>
    <row r="263">
      <c r="X263" s="364"/>
      <c r="Y263" s="252"/>
      <c r="Z263" s="252"/>
      <c r="AA263" s="252"/>
      <c r="AB263" s="252"/>
      <c r="AC263" s="252"/>
    </row>
    <row r="264">
      <c r="X264" s="364"/>
      <c r="Y264" s="252"/>
      <c r="Z264" s="252"/>
      <c r="AA264" s="252"/>
      <c r="AB264" s="252"/>
      <c r="AC264" s="252"/>
    </row>
    <row r="265">
      <c r="X265" s="364"/>
      <c r="Y265" s="252"/>
      <c r="Z265" s="252"/>
      <c r="AA265" s="252"/>
      <c r="AB265" s="252"/>
      <c r="AC265" s="252"/>
    </row>
    <row r="266">
      <c r="X266" s="364"/>
      <c r="Y266" s="252"/>
      <c r="Z266" s="252"/>
      <c r="AA266" s="252"/>
      <c r="AB266" s="252"/>
      <c r="AC266" s="252"/>
    </row>
    <row r="267">
      <c r="X267" s="364"/>
      <c r="Y267" s="252"/>
      <c r="Z267" s="252"/>
      <c r="AA267" s="252"/>
      <c r="AB267" s="252"/>
      <c r="AC267" s="252"/>
    </row>
    <row r="268">
      <c r="X268" s="364"/>
      <c r="Y268" s="252"/>
      <c r="Z268" s="252"/>
      <c r="AA268" s="252"/>
      <c r="AB268" s="252"/>
      <c r="AC268" s="252"/>
    </row>
    <row r="269">
      <c r="X269" s="364"/>
      <c r="Y269" s="252"/>
      <c r="Z269" s="252"/>
      <c r="AA269" s="252"/>
      <c r="AB269" s="252"/>
      <c r="AC269" s="252"/>
    </row>
    <row r="270">
      <c r="X270" s="364"/>
      <c r="Y270" s="252"/>
      <c r="Z270" s="252"/>
      <c r="AA270" s="252"/>
      <c r="AB270" s="252"/>
      <c r="AC270" s="252"/>
    </row>
    <row r="271">
      <c r="X271" s="364"/>
      <c r="Y271" s="252"/>
      <c r="Z271" s="252"/>
      <c r="AA271" s="252"/>
      <c r="AB271" s="252"/>
      <c r="AC271" s="252"/>
    </row>
    <row r="272">
      <c r="X272" s="364"/>
      <c r="Y272" s="252"/>
      <c r="Z272" s="252"/>
      <c r="AA272" s="252"/>
      <c r="AB272" s="252"/>
      <c r="AC272" s="252"/>
    </row>
    <row r="273">
      <c r="X273" s="364"/>
      <c r="Y273" s="252"/>
      <c r="Z273" s="252"/>
      <c r="AA273" s="252"/>
      <c r="AB273" s="252"/>
      <c r="AC273" s="252"/>
    </row>
    <row r="274">
      <c r="X274" s="364"/>
      <c r="Y274" s="252"/>
      <c r="Z274" s="252"/>
      <c r="AA274" s="252"/>
      <c r="AB274" s="252"/>
      <c r="AC274" s="252"/>
    </row>
    <row r="275">
      <c r="X275" s="364"/>
      <c r="Y275" s="252"/>
      <c r="Z275" s="252"/>
      <c r="AA275" s="252"/>
      <c r="AB275" s="252"/>
      <c r="AC275" s="252"/>
    </row>
    <row r="276">
      <c r="X276" s="364"/>
      <c r="Y276" s="252"/>
      <c r="Z276" s="252"/>
      <c r="AA276" s="252"/>
      <c r="AB276" s="252"/>
      <c r="AC276" s="252"/>
    </row>
    <row r="277">
      <c r="X277" s="364"/>
      <c r="Y277" s="252"/>
      <c r="Z277" s="252"/>
      <c r="AA277" s="252"/>
      <c r="AB277" s="252"/>
      <c r="AC277" s="252"/>
    </row>
    <row r="278">
      <c r="X278" s="364"/>
      <c r="Y278" s="252"/>
      <c r="Z278" s="252"/>
      <c r="AA278" s="252"/>
      <c r="AB278" s="252"/>
      <c r="AC278" s="252"/>
    </row>
    <row r="279">
      <c r="X279" s="364"/>
      <c r="Y279" s="252"/>
      <c r="Z279" s="252"/>
      <c r="AA279" s="252"/>
      <c r="AB279" s="252"/>
      <c r="AC279" s="252"/>
    </row>
    <row r="280">
      <c r="X280" s="364"/>
      <c r="Y280" s="252"/>
      <c r="Z280" s="252"/>
      <c r="AA280" s="252"/>
      <c r="AB280" s="252"/>
      <c r="AC280" s="252"/>
    </row>
    <row r="281">
      <c r="X281" s="364"/>
      <c r="Y281" s="252"/>
      <c r="Z281" s="252"/>
      <c r="AA281" s="252"/>
      <c r="AB281" s="252"/>
      <c r="AC281" s="252"/>
    </row>
    <row r="282">
      <c r="X282" s="364"/>
      <c r="Y282" s="252"/>
      <c r="Z282" s="252"/>
      <c r="AA282" s="252"/>
      <c r="AB282" s="252"/>
      <c r="AC282" s="252"/>
    </row>
    <row r="283">
      <c r="X283" s="364"/>
      <c r="Y283" s="252"/>
      <c r="Z283" s="252"/>
      <c r="AA283" s="252"/>
      <c r="AB283" s="252"/>
      <c r="AC283" s="252"/>
    </row>
    <row r="284">
      <c r="X284" s="364"/>
      <c r="Y284" s="252"/>
      <c r="Z284" s="252"/>
      <c r="AA284" s="252"/>
      <c r="AB284" s="252"/>
      <c r="AC284" s="252"/>
    </row>
    <row r="285">
      <c r="X285" s="364"/>
      <c r="Y285" s="252"/>
      <c r="Z285" s="252"/>
      <c r="AA285" s="252"/>
      <c r="AB285" s="252"/>
      <c r="AC285" s="252"/>
    </row>
    <row r="286">
      <c r="X286" s="364"/>
      <c r="Y286" s="252"/>
      <c r="Z286" s="252"/>
      <c r="AA286" s="252"/>
      <c r="AB286" s="252"/>
      <c r="AC286" s="252"/>
    </row>
    <row r="287">
      <c r="X287" s="364"/>
      <c r="Y287" s="252"/>
      <c r="Z287" s="252"/>
      <c r="AA287" s="252"/>
      <c r="AB287" s="252"/>
      <c r="AC287" s="252"/>
    </row>
    <row r="288">
      <c r="X288" s="364"/>
      <c r="Y288" s="252"/>
      <c r="Z288" s="252"/>
      <c r="AA288" s="252"/>
      <c r="AB288" s="252"/>
      <c r="AC288" s="252"/>
    </row>
    <row r="289">
      <c r="X289" s="364"/>
      <c r="Y289" s="252"/>
      <c r="Z289" s="252"/>
      <c r="AA289" s="252"/>
      <c r="AB289" s="252"/>
      <c r="AC289" s="252"/>
    </row>
    <row r="290">
      <c r="X290" s="364"/>
      <c r="Y290" s="252"/>
      <c r="Z290" s="252"/>
      <c r="AA290" s="252"/>
      <c r="AB290" s="252"/>
      <c r="AC290" s="252"/>
    </row>
    <row r="291">
      <c r="X291" s="364"/>
      <c r="Y291" s="252"/>
      <c r="Z291" s="252"/>
      <c r="AA291" s="252"/>
      <c r="AB291" s="252"/>
      <c r="AC291" s="252"/>
    </row>
    <row r="292">
      <c r="X292" s="364"/>
      <c r="Y292" s="252"/>
      <c r="Z292" s="252"/>
      <c r="AA292" s="252"/>
      <c r="AB292" s="252"/>
      <c r="AC292" s="252"/>
    </row>
    <row r="293">
      <c r="X293" s="364"/>
      <c r="Y293" s="252"/>
      <c r="Z293" s="252"/>
      <c r="AA293" s="252"/>
      <c r="AB293" s="252"/>
      <c r="AC293" s="252"/>
    </row>
    <row r="294">
      <c r="X294" s="364"/>
      <c r="Y294" s="252"/>
      <c r="Z294" s="252"/>
      <c r="AA294" s="252"/>
      <c r="AB294" s="252"/>
      <c r="AC294" s="252"/>
    </row>
    <row r="295">
      <c r="X295" s="364"/>
      <c r="Y295" s="252"/>
      <c r="Z295" s="252"/>
      <c r="AA295" s="252"/>
      <c r="AB295" s="252"/>
      <c r="AC295" s="252"/>
    </row>
    <row r="296">
      <c r="X296" s="364"/>
      <c r="Y296" s="252"/>
      <c r="Z296" s="252"/>
      <c r="AA296" s="252"/>
      <c r="AB296" s="252"/>
      <c r="AC296" s="252"/>
    </row>
    <row r="297">
      <c r="X297" s="364"/>
      <c r="Y297" s="252"/>
      <c r="Z297" s="252"/>
      <c r="AA297" s="252"/>
      <c r="AB297" s="252"/>
      <c r="AC297" s="252"/>
    </row>
    <row r="298">
      <c r="X298" s="364"/>
      <c r="Y298" s="252"/>
      <c r="Z298" s="252"/>
      <c r="AA298" s="252"/>
      <c r="AB298" s="252"/>
      <c r="AC298" s="252"/>
    </row>
    <row r="299">
      <c r="X299" s="364"/>
      <c r="Y299" s="252"/>
      <c r="Z299" s="252"/>
      <c r="AA299" s="252"/>
      <c r="AB299" s="252"/>
      <c r="AC299" s="252"/>
    </row>
    <row r="300">
      <c r="X300" s="364"/>
      <c r="Y300" s="252"/>
      <c r="Z300" s="252"/>
      <c r="AA300" s="252"/>
      <c r="AB300" s="252"/>
      <c r="AC300" s="252"/>
    </row>
    <row r="301">
      <c r="X301" s="364"/>
      <c r="Y301" s="252"/>
      <c r="Z301" s="252"/>
      <c r="AA301" s="252"/>
      <c r="AB301" s="252"/>
      <c r="AC301" s="252"/>
    </row>
    <row r="302">
      <c r="X302" s="364"/>
      <c r="Y302" s="252"/>
      <c r="Z302" s="252"/>
      <c r="AA302" s="252"/>
      <c r="AB302" s="252"/>
      <c r="AC302" s="252"/>
    </row>
    <row r="303">
      <c r="X303" s="364"/>
      <c r="Y303" s="252"/>
      <c r="Z303" s="252"/>
      <c r="AA303" s="252"/>
      <c r="AB303" s="252"/>
      <c r="AC303" s="252"/>
    </row>
    <row r="304">
      <c r="X304" s="364"/>
      <c r="Y304" s="252"/>
      <c r="Z304" s="252"/>
      <c r="AA304" s="252"/>
      <c r="AB304" s="252"/>
      <c r="AC304" s="252"/>
    </row>
    <row r="305">
      <c r="X305" s="364"/>
      <c r="Y305" s="252"/>
      <c r="Z305" s="252"/>
      <c r="AA305" s="252"/>
      <c r="AB305" s="252"/>
      <c r="AC305" s="252"/>
    </row>
    <row r="306">
      <c r="X306" s="364"/>
      <c r="Y306" s="252"/>
      <c r="Z306" s="252"/>
      <c r="AA306" s="252"/>
      <c r="AB306" s="252"/>
      <c r="AC306" s="252"/>
    </row>
    <row r="307">
      <c r="X307" s="364"/>
      <c r="Y307" s="252"/>
      <c r="Z307" s="252"/>
      <c r="AA307" s="252"/>
      <c r="AB307" s="252"/>
      <c r="AC307" s="252"/>
    </row>
    <row r="308">
      <c r="X308" s="364"/>
      <c r="Y308" s="252"/>
      <c r="Z308" s="252"/>
      <c r="AA308" s="252"/>
      <c r="AB308" s="252"/>
      <c r="AC308" s="252"/>
    </row>
    <row r="309">
      <c r="X309" s="364"/>
      <c r="Y309" s="252"/>
      <c r="Z309" s="252"/>
      <c r="AA309" s="252"/>
      <c r="AB309" s="252"/>
      <c r="AC309" s="252"/>
    </row>
    <row r="310">
      <c r="X310" s="364"/>
      <c r="Y310" s="252"/>
      <c r="Z310" s="252"/>
      <c r="AA310" s="252"/>
      <c r="AB310" s="252"/>
      <c r="AC310" s="252"/>
    </row>
    <row r="311">
      <c r="X311" s="364"/>
      <c r="Y311" s="252"/>
      <c r="Z311" s="252"/>
      <c r="AA311" s="252"/>
      <c r="AB311" s="252"/>
      <c r="AC311" s="252"/>
    </row>
    <row r="312">
      <c r="X312" s="364"/>
      <c r="Y312" s="252"/>
      <c r="Z312" s="252"/>
      <c r="AA312" s="252"/>
      <c r="AB312" s="252"/>
      <c r="AC312" s="252"/>
    </row>
    <row r="313">
      <c r="X313" s="364"/>
      <c r="Y313" s="252"/>
      <c r="Z313" s="252"/>
      <c r="AA313" s="252"/>
      <c r="AB313" s="252"/>
      <c r="AC313" s="252"/>
    </row>
    <row r="314">
      <c r="X314" s="364"/>
      <c r="Y314" s="252"/>
      <c r="Z314" s="252"/>
      <c r="AA314" s="252"/>
      <c r="AB314" s="252"/>
      <c r="AC314" s="252"/>
    </row>
    <row r="315">
      <c r="X315" s="364"/>
      <c r="Y315" s="252"/>
      <c r="Z315" s="252"/>
      <c r="AA315" s="252"/>
      <c r="AB315" s="252"/>
      <c r="AC315" s="252"/>
    </row>
    <row r="316">
      <c r="X316" s="364"/>
      <c r="Y316" s="252"/>
      <c r="Z316" s="252"/>
      <c r="AA316" s="252"/>
      <c r="AB316" s="252"/>
      <c r="AC316" s="252"/>
    </row>
    <row r="317">
      <c r="X317" s="364"/>
      <c r="Y317" s="252"/>
      <c r="Z317" s="252"/>
      <c r="AA317" s="252"/>
      <c r="AB317" s="252"/>
      <c r="AC317" s="252"/>
    </row>
    <row r="318">
      <c r="X318" s="364"/>
      <c r="Y318" s="252"/>
      <c r="Z318" s="252"/>
      <c r="AA318" s="252"/>
      <c r="AB318" s="252"/>
      <c r="AC318" s="252"/>
    </row>
    <row r="319">
      <c r="X319" s="364"/>
      <c r="Y319" s="252"/>
      <c r="Z319" s="252"/>
      <c r="AA319" s="252"/>
      <c r="AB319" s="252"/>
      <c r="AC319" s="252"/>
    </row>
    <row r="320">
      <c r="X320" s="364"/>
      <c r="Y320" s="252"/>
      <c r="Z320" s="252"/>
      <c r="AA320" s="252"/>
      <c r="AB320" s="252"/>
      <c r="AC320" s="252"/>
    </row>
    <row r="321">
      <c r="X321" s="364"/>
      <c r="Y321" s="252"/>
      <c r="Z321" s="252"/>
      <c r="AA321" s="252"/>
      <c r="AB321" s="252"/>
      <c r="AC321" s="252"/>
    </row>
    <row r="322">
      <c r="X322" s="364"/>
      <c r="Y322" s="252"/>
      <c r="Z322" s="252"/>
      <c r="AA322" s="252"/>
      <c r="AB322" s="252"/>
      <c r="AC322" s="252"/>
    </row>
    <row r="323">
      <c r="X323" s="364"/>
      <c r="Y323" s="252"/>
      <c r="Z323" s="252"/>
      <c r="AA323" s="252"/>
      <c r="AB323" s="252"/>
      <c r="AC323" s="252"/>
    </row>
    <row r="324">
      <c r="X324" s="364"/>
      <c r="Y324" s="252"/>
      <c r="Z324" s="252"/>
      <c r="AA324" s="252"/>
      <c r="AB324" s="252"/>
      <c r="AC324" s="252"/>
    </row>
    <row r="325">
      <c r="X325" s="364"/>
      <c r="Y325" s="252"/>
      <c r="Z325" s="252"/>
      <c r="AA325" s="252"/>
      <c r="AB325" s="252"/>
      <c r="AC325" s="252"/>
    </row>
    <row r="326">
      <c r="X326" s="364"/>
      <c r="Y326" s="252"/>
      <c r="Z326" s="252"/>
      <c r="AA326" s="252"/>
      <c r="AB326" s="252"/>
      <c r="AC326" s="252"/>
    </row>
    <row r="327">
      <c r="X327" s="364"/>
      <c r="Y327" s="252"/>
      <c r="Z327" s="252"/>
      <c r="AA327" s="252"/>
      <c r="AB327" s="252"/>
      <c r="AC327" s="252"/>
    </row>
    <row r="328">
      <c r="X328" s="364"/>
      <c r="Y328" s="252"/>
      <c r="Z328" s="252"/>
      <c r="AA328" s="252"/>
      <c r="AB328" s="252"/>
      <c r="AC328" s="252"/>
    </row>
    <row r="329">
      <c r="X329" s="364"/>
      <c r="Y329" s="252"/>
      <c r="Z329" s="252"/>
      <c r="AA329" s="252"/>
      <c r="AB329" s="252"/>
      <c r="AC329" s="252"/>
    </row>
    <row r="330">
      <c r="X330" s="364"/>
      <c r="Y330" s="252"/>
      <c r="Z330" s="252"/>
      <c r="AA330" s="252"/>
      <c r="AB330" s="252"/>
      <c r="AC330" s="252"/>
    </row>
    <row r="331">
      <c r="X331" s="364"/>
      <c r="Y331" s="252"/>
      <c r="Z331" s="252"/>
      <c r="AA331" s="252"/>
      <c r="AB331" s="252"/>
      <c r="AC331" s="252"/>
    </row>
    <row r="332">
      <c r="X332" s="364"/>
      <c r="Y332" s="252"/>
      <c r="Z332" s="252"/>
      <c r="AA332" s="252"/>
      <c r="AB332" s="252"/>
      <c r="AC332" s="252"/>
    </row>
    <row r="333">
      <c r="X333" s="364"/>
      <c r="Y333" s="252"/>
      <c r="Z333" s="252"/>
      <c r="AA333" s="252"/>
      <c r="AB333" s="252"/>
      <c r="AC333" s="252"/>
    </row>
    <row r="334">
      <c r="X334" s="364"/>
      <c r="Y334" s="252"/>
      <c r="Z334" s="252"/>
      <c r="AA334" s="252"/>
      <c r="AB334" s="252"/>
      <c r="AC334" s="252"/>
    </row>
    <row r="335">
      <c r="X335" s="364"/>
      <c r="Y335" s="252"/>
      <c r="Z335" s="252"/>
      <c r="AA335" s="252"/>
      <c r="AB335" s="252"/>
      <c r="AC335" s="252"/>
    </row>
    <row r="336">
      <c r="X336" s="364"/>
      <c r="Y336" s="252"/>
      <c r="Z336" s="252"/>
      <c r="AA336" s="252"/>
      <c r="AB336" s="252"/>
      <c r="AC336" s="252"/>
    </row>
    <row r="337">
      <c r="X337" s="364"/>
      <c r="Y337" s="252"/>
      <c r="Z337" s="252"/>
      <c r="AA337" s="252"/>
      <c r="AB337" s="252"/>
      <c r="AC337" s="252"/>
    </row>
    <row r="338">
      <c r="X338" s="364"/>
      <c r="Y338" s="252"/>
      <c r="Z338" s="252"/>
      <c r="AA338" s="252"/>
      <c r="AB338" s="252"/>
      <c r="AC338" s="252"/>
    </row>
    <row r="339">
      <c r="X339" s="364"/>
      <c r="Y339" s="252"/>
      <c r="Z339" s="252"/>
      <c r="AA339" s="252"/>
      <c r="AB339" s="252"/>
      <c r="AC339" s="252"/>
    </row>
    <row r="340">
      <c r="X340" s="364"/>
      <c r="Y340" s="252"/>
      <c r="Z340" s="252"/>
      <c r="AA340" s="252"/>
      <c r="AB340" s="252"/>
      <c r="AC340" s="252"/>
    </row>
    <row r="341">
      <c r="X341" s="364"/>
      <c r="Y341" s="252"/>
      <c r="Z341" s="252"/>
      <c r="AA341" s="252"/>
      <c r="AB341" s="252"/>
      <c r="AC341" s="252"/>
    </row>
    <row r="342">
      <c r="X342" s="364"/>
      <c r="Y342" s="252"/>
      <c r="Z342" s="252"/>
      <c r="AA342" s="252"/>
      <c r="AB342" s="252"/>
      <c r="AC342" s="252"/>
    </row>
    <row r="343">
      <c r="X343" s="364"/>
      <c r="Y343" s="252"/>
      <c r="Z343" s="252"/>
      <c r="AA343" s="252"/>
      <c r="AB343" s="252"/>
      <c r="AC343" s="252"/>
    </row>
    <row r="344">
      <c r="X344" s="364"/>
      <c r="Y344" s="252"/>
      <c r="Z344" s="252"/>
      <c r="AA344" s="252"/>
      <c r="AB344" s="252"/>
      <c r="AC344" s="252"/>
    </row>
    <row r="345">
      <c r="X345" s="364"/>
      <c r="Y345" s="252"/>
      <c r="Z345" s="252"/>
      <c r="AA345" s="252"/>
      <c r="AB345" s="252"/>
      <c r="AC345" s="252"/>
    </row>
    <row r="346">
      <c r="X346" s="364"/>
      <c r="Y346" s="252"/>
      <c r="Z346" s="252"/>
      <c r="AA346" s="252"/>
      <c r="AB346" s="252"/>
      <c r="AC346" s="252"/>
    </row>
    <row r="347">
      <c r="X347" s="364"/>
      <c r="Y347" s="252"/>
      <c r="Z347" s="252"/>
      <c r="AA347" s="252"/>
      <c r="AB347" s="252"/>
      <c r="AC347" s="252"/>
    </row>
    <row r="348">
      <c r="X348" s="364"/>
      <c r="Y348" s="252"/>
      <c r="Z348" s="252"/>
      <c r="AA348" s="252"/>
      <c r="AB348" s="252"/>
      <c r="AC348" s="252"/>
    </row>
    <row r="349">
      <c r="X349" s="364"/>
      <c r="Y349" s="252"/>
      <c r="Z349" s="252"/>
      <c r="AA349" s="252"/>
      <c r="AB349" s="252"/>
      <c r="AC349" s="252"/>
    </row>
    <row r="350">
      <c r="X350" s="364"/>
      <c r="Y350" s="252"/>
      <c r="Z350" s="252"/>
      <c r="AA350" s="252"/>
      <c r="AB350" s="252"/>
      <c r="AC350" s="252"/>
    </row>
    <row r="351">
      <c r="X351" s="364"/>
      <c r="Y351" s="252"/>
      <c r="Z351" s="252"/>
      <c r="AA351" s="252"/>
      <c r="AB351" s="252"/>
      <c r="AC351" s="252"/>
    </row>
    <row r="352">
      <c r="X352" s="364"/>
      <c r="Y352" s="252"/>
      <c r="Z352" s="252"/>
      <c r="AA352" s="252"/>
      <c r="AB352" s="252"/>
      <c r="AC352" s="252"/>
    </row>
    <row r="353">
      <c r="X353" s="364"/>
      <c r="Y353" s="252"/>
      <c r="Z353" s="252"/>
      <c r="AA353" s="252"/>
      <c r="AB353" s="252"/>
      <c r="AC353" s="252"/>
    </row>
    <row r="354">
      <c r="X354" s="364"/>
      <c r="Y354" s="252"/>
      <c r="Z354" s="252"/>
      <c r="AA354" s="252"/>
      <c r="AB354" s="252"/>
      <c r="AC354" s="252"/>
    </row>
    <row r="355">
      <c r="X355" s="364"/>
      <c r="Y355" s="252"/>
      <c r="Z355" s="252"/>
      <c r="AA355" s="252"/>
      <c r="AB355" s="252"/>
      <c r="AC355" s="252"/>
    </row>
    <row r="356">
      <c r="X356" s="364"/>
      <c r="Y356" s="252"/>
      <c r="Z356" s="252"/>
      <c r="AA356" s="252"/>
      <c r="AB356" s="252"/>
      <c r="AC356" s="252"/>
    </row>
    <row r="357">
      <c r="X357" s="364"/>
      <c r="Y357" s="252"/>
      <c r="Z357" s="252"/>
      <c r="AA357" s="252"/>
      <c r="AB357" s="252"/>
      <c r="AC357" s="252"/>
    </row>
    <row r="358">
      <c r="X358" s="364"/>
      <c r="Y358" s="252"/>
      <c r="Z358" s="252"/>
      <c r="AA358" s="252"/>
      <c r="AB358" s="252"/>
      <c r="AC358" s="252"/>
    </row>
    <row r="359">
      <c r="X359" s="364"/>
      <c r="Y359" s="252"/>
      <c r="Z359" s="252"/>
      <c r="AA359" s="252"/>
      <c r="AB359" s="252"/>
      <c r="AC359" s="252"/>
    </row>
    <row r="360">
      <c r="X360" s="364"/>
      <c r="Y360" s="252"/>
      <c r="Z360" s="252"/>
      <c r="AA360" s="252"/>
      <c r="AB360" s="252"/>
      <c r="AC360" s="252"/>
    </row>
    <row r="361">
      <c r="X361" s="364"/>
      <c r="Y361" s="252"/>
      <c r="Z361" s="252"/>
      <c r="AA361" s="252"/>
      <c r="AB361" s="252"/>
      <c r="AC361" s="252"/>
    </row>
    <row r="362">
      <c r="X362" s="364"/>
      <c r="Y362" s="252"/>
      <c r="Z362" s="252"/>
      <c r="AA362" s="252"/>
      <c r="AB362" s="252"/>
      <c r="AC362" s="252"/>
    </row>
    <row r="363">
      <c r="X363" s="364"/>
      <c r="Y363" s="252"/>
      <c r="Z363" s="252"/>
      <c r="AA363" s="252"/>
      <c r="AB363" s="252"/>
      <c r="AC363" s="252"/>
    </row>
    <row r="364">
      <c r="X364" s="364"/>
      <c r="Y364" s="252"/>
      <c r="Z364" s="252"/>
      <c r="AA364" s="252"/>
      <c r="AB364" s="252"/>
      <c r="AC364" s="252"/>
    </row>
    <row r="365">
      <c r="X365" s="364"/>
      <c r="Y365" s="252"/>
      <c r="Z365" s="252"/>
      <c r="AA365" s="252"/>
      <c r="AB365" s="252"/>
      <c r="AC365" s="252"/>
    </row>
    <row r="366">
      <c r="X366" s="364"/>
      <c r="Y366" s="252"/>
      <c r="Z366" s="252"/>
      <c r="AA366" s="252"/>
      <c r="AB366" s="252"/>
      <c r="AC366" s="252"/>
    </row>
    <row r="367">
      <c r="X367" s="364"/>
      <c r="Y367" s="252"/>
      <c r="Z367" s="252"/>
      <c r="AA367" s="252"/>
      <c r="AB367" s="252"/>
      <c r="AC367" s="252"/>
    </row>
    <row r="368">
      <c r="X368" s="364"/>
      <c r="Y368" s="252"/>
      <c r="Z368" s="252"/>
      <c r="AA368" s="252"/>
      <c r="AB368" s="252"/>
      <c r="AC368" s="252"/>
    </row>
    <row r="369">
      <c r="X369" s="364"/>
      <c r="Y369" s="252"/>
      <c r="Z369" s="252"/>
      <c r="AA369" s="252"/>
      <c r="AB369" s="252"/>
      <c r="AC369" s="252"/>
    </row>
    <row r="370">
      <c r="X370" s="364"/>
      <c r="Y370" s="252"/>
      <c r="Z370" s="252"/>
      <c r="AA370" s="252"/>
      <c r="AB370" s="252"/>
      <c r="AC370" s="252"/>
    </row>
    <row r="371">
      <c r="X371" s="364"/>
      <c r="Y371" s="252"/>
      <c r="Z371" s="252"/>
      <c r="AA371" s="252"/>
      <c r="AB371" s="252"/>
      <c r="AC371" s="252"/>
    </row>
    <row r="372">
      <c r="X372" s="364"/>
      <c r="Y372" s="252"/>
      <c r="Z372" s="252"/>
      <c r="AA372" s="252"/>
      <c r="AB372" s="252"/>
      <c r="AC372" s="252"/>
    </row>
    <row r="373">
      <c r="X373" s="364"/>
      <c r="Y373" s="252"/>
      <c r="Z373" s="252"/>
      <c r="AA373" s="252"/>
      <c r="AB373" s="252"/>
      <c r="AC373" s="252"/>
    </row>
    <row r="374">
      <c r="X374" s="364"/>
      <c r="Y374" s="252"/>
      <c r="Z374" s="252"/>
      <c r="AA374" s="252"/>
      <c r="AB374" s="252"/>
      <c r="AC374" s="252"/>
    </row>
    <row r="375">
      <c r="X375" s="364"/>
      <c r="Y375" s="252"/>
      <c r="Z375" s="252"/>
      <c r="AA375" s="252"/>
      <c r="AB375" s="252"/>
      <c r="AC375" s="252"/>
    </row>
    <row r="376">
      <c r="X376" s="364"/>
      <c r="Y376" s="252"/>
      <c r="Z376" s="252"/>
      <c r="AA376" s="252"/>
      <c r="AB376" s="252"/>
      <c r="AC376" s="252"/>
    </row>
    <row r="377">
      <c r="X377" s="364"/>
      <c r="Y377" s="252"/>
      <c r="Z377" s="252"/>
      <c r="AA377" s="252"/>
      <c r="AB377" s="252"/>
      <c r="AC377" s="252"/>
    </row>
    <row r="378">
      <c r="X378" s="364"/>
      <c r="Y378" s="252"/>
      <c r="Z378" s="252"/>
      <c r="AA378" s="252"/>
      <c r="AB378" s="252"/>
      <c r="AC378" s="252"/>
    </row>
    <row r="379">
      <c r="X379" s="364"/>
      <c r="Y379" s="252"/>
      <c r="Z379" s="252"/>
      <c r="AA379" s="252"/>
      <c r="AB379" s="252"/>
      <c r="AC379" s="252"/>
    </row>
    <row r="380">
      <c r="X380" s="364"/>
      <c r="Y380" s="252"/>
      <c r="Z380" s="252"/>
      <c r="AA380" s="252"/>
      <c r="AB380" s="252"/>
      <c r="AC380" s="252"/>
    </row>
    <row r="381">
      <c r="X381" s="364"/>
      <c r="Y381" s="252"/>
      <c r="Z381" s="252"/>
      <c r="AA381" s="252"/>
      <c r="AB381" s="252"/>
      <c r="AC381" s="252"/>
    </row>
    <row r="382">
      <c r="X382" s="364"/>
      <c r="Y382" s="252"/>
      <c r="Z382" s="252"/>
      <c r="AA382" s="252"/>
      <c r="AB382" s="252"/>
      <c r="AC382" s="252"/>
    </row>
    <row r="383">
      <c r="X383" s="364"/>
      <c r="Y383" s="252"/>
      <c r="Z383" s="252"/>
      <c r="AA383" s="252"/>
      <c r="AB383" s="252"/>
      <c r="AC383" s="252"/>
    </row>
    <row r="384">
      <c r="X384" s="364"/>
      <c r="Y384" s="252"/>
      <c r="Z384" s="252"/>
      <c r="AA384" s="252"/>
      <c r="AB384" s="252"/>
      <c r="AC384" s="252"/>
    </row>
    <row r="385">
      <c r="X385" s="364"/>
      <c r="Y385" s="252"/>
      <c r="Z385" s="252"/>
      <c r="AA385" s="252"/>
      <c r="AB385" s="252"/>
      <c r="AC385" s="252"/>
    </row>
    <row r="386">
      <c r="X386" s="364"/>
      <c r="Y386" s="252"/>
      <c r="Z386" s="252"/>
      <c r="AA386" s="252"/>
      <c r="AB386" s="252"/>
      <c r="AC386" s="252"/>
    </row>
    <row r="387">
      <c r="X387" s="364"/>
      <c r="Y387" s="252"/>
      <c r="Z387" s="252"/>
      <c r="AA387" s="252"/>
      <c r="AB387" s="252"/>
      <c r="AC387" s="252"/>
    </row>
    <row r="388">
      <c r="X388" s="364"/>
      <c r="Y388" s="252"/>
      <c r="Z388" s="252"/>
      <c r="AA388" s="252"/>
      <c r="AB388" s="252"/>
      <c r="AC388" s="252"/>
    </row>
    <row r="389">
      <c r="X389" s="364"/>
      <c r="Y389" s="252"/>
      <c r="Z389" s="252"/>
      <c r="AA389" s="252"/>
      <c r="AB389" s="252"/>
      <c r="AC389" s="252"/>
    </row>
    <row r="390">
      <c r="X390" s="364"/>
      <c r="Y390" s="252"/>
      <c r="Z390" s="252"/>
      <c r="AA390" s="252"/>
      <c r="AB390" s="252"/>
      <c r="AC390" s="252"/>
    </row>
    <row r="391">
      <c r="X391" s="364"/>
      <c r="Y391" s="252"/>
      <c r="Z391" s="252"/>
      <c r="AA391" s="252"/>
      <c r="AB391" s="252"/>
      <c r="AC391" s="252"/>
    </row>
    <row r="392">
      <c r="X392" s="364"/>
      <c r="Y392" s="252"/>
      <c r="Z392" s="252"/>
      <c r="AA392" s="252"/>
      <c r="AB392" s="252"/>
      <c r="AC392" s="252"/>
    </row>
    <row r="393">
      <c r="X393" s="364"/>
      <c r="Y393" s="252"/>
      <c r="Z393" s="252"/>
      <c r="AA393" s="252"/>
      <c r="AB393" s="252"/>
      <c r="AC393" s="252"/>
    </row>
    <row r="394">
      <c r="X394" s="364"/>
      <c r="Y394" s="252"/>
      <c r="Z394" s="252"/>
      <c r="AA394" s="252"/>
      <c r="AB394" s="252"/>
      <c r="AC394" s="252"/>
    </row>
    <row r="395">
      <c r="X395" s="364"/>
      <c r="Y395" s="252"/>
      <c r="Z395" s="252"/>
      <c r="AA395" s="252"/>
      <c r="AB395" s="252"/>
      <c r="AC395" s="252"/>
    </row>
    <row r="396">
      <c r="X396" s="364"/>
      <c r="Y396" s="252"/>
      <c r="Z396" s="252"/>
      <c r="AA396" s="252"/>
      <c r="AB396" s="252"/>
      <c r="AC396" s="252"/>
    </row>
    <row r="397">
      <c r="X397" s="364"/>
      <c r="Y397" s="252"/>
      <c r="Z397" s="252"/>
      <c r="AA397" s="252"/>
      <c r="AB397" s="252"/>
      <c r="AC397" s="252"/>
    </row>
    <row r="398">
      <c r="X398" s="364"/>
      <c r="Y398" s="252"/>
      <c r="Z398" s="252"/>
      <c r="AA398" s="252"/>
      <c r="AB398" s="252"/>
      <c r="AC398" s="252"/>
    </row>
    <row r="399">
      <c r="X399" s="364"/>
      <c r="Y399" s="252"/>
      <c r="Z399" s="252"/>
      <c r="AA399" s="252"/>
      <c r="AB399" s="252"/>
      <c r="AC399" s="252"/>
    </row>
    <row r="400">
      <c r="X400" s="364"/>
      <c r="Y400" s="252"/>
      <c r="Z400" s="252"/>
      <c r="AA400" s="252"/>
      <c r="AB400" s="252"/>
      <c r="AC400" s="252"/>
    </row>
    <row r="401">
      <c r="X401" s="364"/>
      <c r="Y401" s="252"/>
      <c r="Z401" s="252"/>
      <c r="AA401" s="252"/>
      <c r="AB401" s="252"/>
      <c r="AC401" s="252"/>
    </row>
    <row r="402">
      <c r="X402" s="364"/>
      <c r="Y402" s="252"/>
      <c r="Z402" s="252"/>
      <c r="AA402" s="252"/>
      <c r="AB402" s="252"/>
      <c r="AC402" s="252"/>
    </row>
    <row r="403">
      <c r="X403" s="364"/>
      <c r="Y403" s="252"/>
      <c r="Z403" s="252"/>
      <c r="AA403" s="252"/>
      <c r="AB403" s="252"/>
      <c r="AC403" s="252"/>
    </row>
    <row r="404">
      <c r="X404" s="364"/>
      <c r="Y404" s="252"/>
      <c r="Z404" s="252"/>
      <c r="AA404" s="252"/>
      <c r="AB404" s="252"/>
      <c r="AC404" s="252"/>
    </row>
    <row r="405">
      <c r="X405" s="364"/>
      <c r="Y405" s="252"/>
      <c r="Z405" s="252"/>
      <c r="AA405" s="252"/>
      <c r="AB405" s="252"/>
      <c r="AC405" s="252"/>
    </row>
    <row r="406">
      <c r="X406" s="364"/>
      <c r="Y406" s="252"/>
      <c r="Z406" s="252"/>
      <c r="AA406" s="252"/>
      <c r="AB406" s="252"/>
      <c r="AC406" s="252"/>
    </row>
    <row r="407">
      <c r="X407" s="364"/>
      <c r="Y407" s="252"/>
      <c r="Z407" s="252"/>
      <c r="AA407" s="252"/>
      <c r="AB407" s="252"/>
      <c r="AC407" s="252"/>
    </row>
    <row r="408">
      <c r="X408" s="364"/>
      <c r="Y408" s="252"/>
      <c r="Z408" s="252"/>
      <c r="AA408" s="252"/>
      <c r="AB408" s="252"/>
      <c r="AC408" s="252"/>
    </row>
    <row r="409">
      <c r="X409" s="364"/>
      <c r="Y409" s="252"/>
      <c r="Z409" s="252"/>
      <c r="AA409" s="252"/>
      <c r="AB409" s="252"/>
      <c r="AC409" s="252"/>
    </row>
    <row r="410">
      <c r="X410" s="364"/>
      <c r="Y410" s="252"/>
      <c r="Z410" s="252"/>
      <c r="AA410" s="252"/>
      <c r="AB410" s="252"/>
      <c r="AC410" s="252"/>
    </row>
    <row r="411">
      <c r="X411" s="364"/>
      <c r="Y411" s="252"/>
      <c r="Z411" s="252"/>
      <c r="AA411" s="252"/>
      <c r="AB411" s="252"/>
      <c r="AC411" s="252"/>
    </row>
    <row r="412">
      <c r="X412" s="364"/>
      <c r="Y412" s="252"/>
      <c r="Z412" s="252"/>
      <c r="AA412" s="252"/>
      <c r="AB412" s="252"/>
      <c r="AC412" s="252"/>
    </row>
    <row r="413">
      <c r="X413" s="364"/>
      <c r="Y413" s="252"/>
      <c r="Z413" s="252"/>
      <c r="AA413" s="252"/>
      <c r="AB413" s="252"/>
      <c r="AC413" s="252"/>
    </row>
    <row r="414">
      <c r="X414" s="364"/>
      <c r="Y414" s="252"/>
      <c r="Z414" s="252"/>
      <c r="AA414" s="252"/>
      <c r="AB414" s="252"/>
      <c r="AC414" s="252"/>
    </row>
    <row r="415">
      <c r="X415" s="364"/>
      <c r="Y415" s="252"/>
      <c r="Z415" s="252"/>
      <c r="AA415" s="252"/>
      <c r="AB415" s="252"/>
      <c r="AC415" s="252"/>
    </row>
    <row r="416">
      <c r="X416" s="364"/>
      <c r="Y416" s="252"/>
      <c r="Z416" s="252"/>
      <c r="AA416" s="252"/>
      <c r="AB416" s="252"/>
      <c r="AC416" s="252"/>
    </row>
    <row r="417">
      <c r="X417" s="364"/>
      <c r="Y417" s="252"/>
      <c r="Z417" s="252"/>
      <c r="AA417" s="252"/>
      <c r="AB417" s="252"/>
      <c r="AC417" s="252"/>
    </row>
    <row r="418">
      <c r="X418" s="364"/>
      <c r="Y418" s="252"/>
      <c r="Z418" s="252"/>
      <c r="AA418" s="252"/>
      <c r="AB418" s="252"/>
      <c r="AC418" s="252"/>
    </row>
    <row r="419">
      <c r="X419" s="364"/>
      <c r="Y419" s="252"/>
      <c r="Z419" s="252"/>
      <c r="AA419" s="252"/>
      <c r="AB419" s="252"/>
      <c r="AC419" s="252"/>
    </row>
    <row r="420">
      <c r="X420" s="364"/>
      <c r="Y420" s="252"/>
      <c r="Z420" s="252"/>
      <c r="AA420" s="252"/>
      <c r="AB420" s="252"/>
      <c r="AC420" s="252"/>
    </row>
    <row r="421">
      <c r="X421" s="364"/>
      <c r="Y421" s="252"/>
      <c r="Z421" s="252"/>
      <c r="AA421" s="252"/>
      <c r="AB421" s="252"/>
      <c r="AC421" s="252"/>
    </row>
    <row r="422">
      <c r="X422" s="364"/>
      <c r="Y422" s="252"/>
      <c r="Z422" s="252"/>
      <c r="AA422" s="252"/>
      <c r="AB422" s="252"/>
      <c r="AC422" s="252"/>
    </row>
    <row r="423">
      <c r="X423" s="364"/>
      <c r="Y423" s="252"/>
      <c r="Z423" s="252"/>
      <c r="AA423" s="252"/>
      <c r="AB423" s="252"/>
      <c r="AC423" s="252"/>
    </row>
    <row r="424">
      <c r="X424" s="364"/>
      <c r="Y424" s="252"/>
      <c r="Z424" s="252"/>
      <c r="AA424" s="252"/>
      <c r="AB424" s="252"/>
      <c r="AC424" s="252"/>
    </row>
    <row r="425">
      <c r="X425" s="364"/>
      <c r="Y425" s="252"/>
      <c r="Z425" s="252"/>
      <c r="AA425" s="252"/>
      <c r="AB425" s="252"/>
      <c r="AC425" s="252"/>
    </row>
    <row r="426">
      <c r="X426" s="364"/>
      <c r="Y426" s="252"/>
      <c r="Z426" s="252"/>
      <c r="AA426" s="252"/>
      <c r="AB426" s="252"/>
      <c r="AC426" s="252"/>
    </row>
    <row r="427">
      <c r="X427" s="364"/>
      <c r="Y427" s="252"/>
      <c r="Z427" s="252"/>
      <c r="AA427" s="252"/>
      <c r="AB427" s="252"/>
      <c r="AC427" s="252"/>
    </row>
    <row r="428">
      <c r="X428" s="364"/>
      <c r="Y428" s="252"/>
      <c r="Z428" s="252"/>
      <c r="AA428" s="252"/>
      <c r="AB428" s="252"/>
      <c r="AC428" s="252"/>
    </row>
    <row r="429">
      <c r="X429" s="364"/>
      <c r="Y429" s="252"/>
      <c r="Z429" s="252"/>
      <c r="AA429" s="252"/>
      <c r="AB429" s="252"/>
      <c r="AC429" s="252"/>
    </row>
    <row r="430">
      <c r="X430" s="364"/>
      <c r="Y430" s="252"/>
      <c r="Z430" s="252"/>
      <c r="AA430" s="252"/>
      <c r="AB430" s="252"/>
      <c r="AC430" s="252"/>
    </row>
    <row r="431">
      <c r="X431" s="364"/>
      <c r="Y431" s="252"/>
      <c r="Z431" s="252"/>
      <c r="AA431" s="252"/>
      <c r="AB431" s="252"/>
      <c r="AC431" s="252"/>
    </row>
    <row r="432">
      <c r="X432" s="364"/>
      <c r="Y432" s="252"/>
      <c r="Z432" s="252"/>
      <c r="AA432" s="252"/>
      <c r="AB432" s="252"/>
      <c r="AC432" s="252"/>
    </row>
    <row r="433">
      <c r="X433" s="364"/>
      <c r="Y433" s="252"/>
      <c r="Z433" s="252"/>
      <c r="AA433" s="252"/>
      <c r="AB433" s="252"/>
      <c r="AC433" s="252"/>
    </row>
    <row r="434">
      <c r="X434" s="364"/>
      <c r="Y434" s="252"/>
      <c r="Z434" s="252"/>
      <c r="AA434" s="252"/>
      <c r="AB434" s="252"/>
      <c r="AC434" s="252"/>
    </row>
    <row r="435">
      <c r="X435" s="364"/>
      <c r="Y435" s="252"/>
      <c r="Z435" s="252"/>
      <c r="AA435" s="252"/>
      <c r="AB435" s="252"/>
      <c r="AC435" s="252"/>
    </row>
    <row r="436">
      <c r="X436" s="364"/>
      <c r="Y436" s="252"/>
      <c r="Z436" s="252"/>
      <c r="AA436" s="252"/>
      <c r="AB436" s="252"/>
      <c r="AC436" s="252"/>
    </row>
    <row r="437">
      <c r="X437" s="364"/>
      <c r="Y437" s="252"/>
      <c r="Z437" s="252"/>
      <c r="AA437" s="252"/>
      <c r="AB437" s="252"/>
      <c r="AC437" s="252"/>
    </row>
    <row r="438">
      <c r="X438" s="364"/>
      <c r="Y438" s="252"/>
      <c r="Z438" s="252"/>
      <c r="AA438" s="252"/>
      <c r="AB438" s="252"/>
      <c r="AC438" s="252"/>
    </row>
    <row r="439">
      <c r="X439" s="364"/>
      <c r="Y439" s="252"/>
      <c r="Z439" s="252"/>
      <c r="AA439" s="252"/>
      <c r="AB439" s="252"/>
      <c r="AC439" s="252"/>
    </row>
    <row r="440">
      <c r="X440" s="364"/>
      <c r="Y440" s="252"/>
      <c r="Z440" s="252"/>
      <c r="AA440" s="252"/>
      <c r="AB440" s="252"/>
      <c r="AC440" s="252"/>
    </row>
    <row r="441">
      <c r="X441" s="364"/>
      <c r="Y441" s="252"/>
      <c r="Z441" s="252"/>
      <c r="AA441" s="252"/>
      <c r="AB441" s="252"/>
      <c r="AC441" s="252"/>
    </row>
    <row r="442">
      <c r="X442" s="364"/>
      <c r="Y442" s="252"/>
      <c r="Z442" s="252"/>
      <c r="AA442" s="252"/>
      <c r="AB442" s="252"/>
      <c r="AC442" s="252"/>
    </row>
    <row r="443">
      <c r="X443" s="364"/>
      <c r="Y443" s="252"/>
      <c r="Z443" s="252"/>
      <c r="AA443" s="252"/>
      <c r="AB443" s="252"/>
      <c r="AC443" s="252"/>
    </row>
    <row r="444">
      <c r="X444" s="364"/>
      <c r="Y444" s="252"/>
      <c r="Z444" s="252"/>
      <c r="AA444" s="252"/>
      <c r="AB444" s="252"/>
      <c r="AC444" s="252"/>
    </row>
    <row r="445">
      <c r="X445" s="364"/>
      <c r="Y445" s="252"/>
      <c r="Z445" s="252"/>
      <c r="AA445" s="252"/>
      <c r="AB445" s="252"/>
      <c r="AC445" s="252"/>
    </row>
    <row r="446">
      <c r="X446" s="364"/>
      <c r="Y446" s="252"/>
      <c r="Z446" s="252"/>
      <c r="AA446" s="252"/>
      <c r="AB446" s="252"/>
      <c r="AC446" s="252"/>
    </row>
    <row r="447">
      <c r="X447" s="364"/>
      <c r="Y447" s="252"/>
      <c r="Z447" s="252"/>
      <c r="AA447" s="252"/>
      <c r="AB447" s="252"/>
      <c r="AC447" s="252"/>
    </row>
    <row r="448">
      <c r="X448" s="364"/>
      <c r="Y448" s="252"/>
      <c r="Z448" s="252"/>
      <c r="AA448" s="252"/>
      <c r="AB448" s="252"/>
      <c r="AC448" s="252"/>
    </row>
    <row r="449">
      <c r="X449" s="364"/>
      <c r="Y449" s="252"/>
      <c r="Z449" s="252"/>
      <c r="AA449" s="252"/>
      <c r="AB449" s="252"/>
      <c r="AC449" s="252"/>
    </row>
    <row r="450">
      <c r="X450" s="364"/>
      <c r="Y450" s="252"/>
      <c r="Z450" s="252"/>
      <c r="AA450" s="252"/>
      <c r="AB450" s="252"/>
      <c r="AC450" s="252"/>
    </row>
    <row r="451">
      <c r="X451" s="364"/>
      <c r="Y451" s="252"/>
      <c r="Z451" s="252"/>
      <c r="AA451" s="252"/>
      <c r="AB451" s="252"/>
      <c r="AC451" s="252"/>
    </row>
    <row r="452">
      <c r="X452" s="364"/>
      <c r="Y452" s="252"/>
      <c r="Z452" s="252"/>
      <c r="AA452" s="252"/>
      <c r="AB452" s="252"/>
      <c r="AC452" s="252"/>
    </row>
    <row r="453">
      <c r="X453" s="364"/>
      <c r="Y453" s="252"/>
      <c r="Z453" s="252"/>
      <c r="AA453" s="252"/>
      <c r="AB453" s="252"/>
      <c r="AC453" s="252"/>
    </row>
    <row r="454">
      <c r="X454" s="364"/>
      <c r="Y454" s="252"/>
      <c r="Z454" s="252"/>
      <c r="AA454" s="252"/>
      <c r="AB454" s="252"/>
      <c r="AC454" s="252"/>
    </row>
    <row r="455">
      <c r="X455" s="364"/>
      <c r="Y455" s="252"/>
      <c r="Z455" s="252"/>
      <c r="AA455" s="252"/>
      <c r="AB455" s="252"/>
      <c r="AC455" s="252"/>
    </row>
    <row r="456">
      <c r="X456" s="364"/>
      <c r="Y456" s="252"/>
      <c r="Z456" s="252"/>
      <c r="AA456" s="252"/>
      <c r="AB456" s="252"/>
      <c r="AC456" s="252"/>
    </row>
    <row r="457">
      <c r="X457" s="364"/>
      <c r="Y457" s="252"/>
      <c r="Z457" s="252"/>
      <c r="AA457" s="252"/>
      <c r="AB457" s="252"/>
      <c r="AC457" s="252"/>
    </row>
    <row r="458">
      <c r="X458" s="364"/>
      <c r="Y458" s="252"/>
      <c r="Z458" s="252"/>
      <c r="AA458" s="252"/>
      <c r="AB458" s="252"/>
      <c r="AC458" s="252"/>
    </row>
    <row r="459">
      <c r="X459" s="364"/>
      <c r="Y459" s="252"/>
      <c r="Z459" s="252"/>
      <c r="AA459" s="252"/>
      <c r="AB459" s="252"/>
      <c r="AC459" s="252"/>
    </row>
    <row r="460">
      <c r="X460" s="364"/>
      <c r="Y460" s="252"/>
      <c r="Z460" s="252"/>
      <c r="AA460" s="252"/>
      <c r="AB460" s="252"/>
      <c r="AC460" s="252"/>
    </row>
    <row r="461">
      <c r="X461" s="364"/>
      <c r="Y461" s="252"/>
      <c r="Z461" s="252"/>
      <c r="AA461" s="252"/>
      <c r="AB461" s="252"/>
      <c r="AC461" s="252"/>
    </row>
    <row r="462">
      <c r="X462" s="364"/>
      <c r="Y462" s="252"/>
      <c r="Z462" s="252"/>
      <c r="AA462" s="252"/>
      <c r="AB462" s="252"/>
      <c r="AC462" s="252"/>
    </row>
    <row r="463">
      <c r="X463" s="364"/>
      <c r="Y463" s="252"/>
      <c r="Z463" s="252"/>
      <c r="AA463" s="252"/>
      <c r="AB463" s="252"/>
      <c r="AC463" s="252"/>
    </row>
    <row r="464">
      <c r="X464" s="364"/>
      <c r="Y464" s="252"/>
      <c r="Z464" s="252"/>
      <c r="AA464" s="252"/>
      <c r="AB464" s="252"/>
      <c r="AC464" s="252"/>
    </row>
    <row r="465">
      <c r="X465" s="364"/>
      <c r="Y465" s="252"/>
      <c r="Z465" s="252"/>
      <c r="AA465" s="252"/>
      <c r="AB465" s="252"/>
      <c r="AC465" s="252"/>
    </row>
    <row r="466">
      <c r="X466" s="364"/>
      <c r="Y466" s="252"/>
      <c r="Z466" s="252"/>
      <c r="AA466" s="252"/>
      <c r="AB466" s="252"/>
      <c r="AC466" s="252"/>
    </row>
    <row r="467">
      <c r="X467" s="364"/>
      <c r="Y467" s="252"/>
      <c r="Z467" s="252"/>
      <c r="AA467" s="252"/>
      <c r="AB467" s="252"/>
      <c r="AC467" s="252"/>
    </row>
    <row r="468">
      <c r="X468" s="364"/>
      <c r="Y468" s="252"/>
      <c r="Z468" s="252"/>
      <c r="AA468" s="252"/>
      <c r="AB468" s="252"/>
      <c r="AC468" s="252"/>
    </row>
    <row r="469">
      <c r="X469" s="364"/>
      <c r="Y469" s="252"/>
      <c r="Z469" s="252"/>
      <c r="AA469" s="252"/>
      <c r="AB469" s="252"/>
      <c r="AC469" s="252"/>
    </row>
    <row r="470">
      <c r="X470" s="364"/>
      <c r="Y470" s="252"/>
      <c r="Z470" s="252"/>
      <c r="AA470" s="252"/>
      <c r="AB470" s="252"/>
      <c r="AC470" s="252"/>
    </row>
    <row r="471">
      <c r="X471" s="364"/>
      <c r="Y471" s="252"/>
      <c r="Z471" s="252"/>
      <c r="AA471" s="252"/>
      <c r="AB471" s="252"/>
      <c r="AC471" s="252"/>
    </row>
    <row r="472">
      <c r="X472" s="364"/>
      <c r="Y472" s="252"/>
      <c r="Z472" s="252"/>
      <c r="AA472" s="252"/>
      <c r="AB472" s="252"/>
      <c r="AC472" s="252"/>
    </row>
    <row r="473">
      <c r="X473" s="364"/>
      <c r="Y473" s="252"/>
      <c r="Z473" s="252"/>
      <c r="AA473" s="252"/>
      <c r="AB473" s="252"/>
      <c r="AC473" s="252"/>
    </row>
    <row r="474">
      <c r="X474" s="364"/>
      <c r="Y474" s="252"/>
      <c r="Z474" s="252"/>
      <c r="AA474" s="252"/>
      <c r="AB474" s="252"/>
      <c r="AC474" s="252"/>
    </row>
    <row r="475">
      <c r="X475" s="364"/>
      <c r="Y475" s="252"/>
      <c r="Z475" s="252"/>
      <c r="AA475" s="252"/>
      <c r="AB475" s="252"/>
      <c r="AC475" s="252"/>
    </row>
    <row r="476">
      <c r="X476" s="364"/>
      <c r="Y476" s="252"/>
      <c r="Z476" s="252"/>
      <c r="AA476" s="252"/>
      <c r="AB476" s="252"/>
      <c r="AC476" s="252"/>
    </row>
    <row r="477">
      <c r="X477" s="364"/>
      <c r="Y477" s="252"/>
      <c r="Z477" s="252"/>
      <c r="AA477" s="252"/>
      <c r="AB477" s="252"/>
      <c r="AC477" s="252"/>
    </row>
    <row r="478">
      <c r="X478" s="364"/>
      <c r="Y478" s="252"/>
      <c r="Z478" s="252"/>
      <c r="AA478" s="252"/>
      <c r="AB478" s="252"/>
      <c r="AC478" s="252"/>
    </row>
    <row r="479">
      <c r="X479" s="364"/>
      <c r="Y479" s="252"/>
      <c r="Z479" s="252"/>
      <c r="AA479" s="252"/>
      <c r="AB479" s="252"/>
      <c r="AC479" s="252"/>
    </row>
    <row r="480">
      <c r="X480" s="364"/>
      <c r="Y480" s="252"/>
      <c r="Z480" s="252"/>
      <c r="AA480" s="252"/>
      <c r="AB480" s="252"/>
      <c r="AC480" s="252"/>
    </row>
    <row r="481">
      <c r="X481" s="364"/>
      <c r="Y481" s="252"/>
      <c r="Z481" s="252"/>
      <c r="AA481" s="252"/>
      <c r="AB481" s="252"/>
      <c r="AC481" s="252"/>
    </row>
    <row r="482">
      <c r="X482" s="364"/>
      <c r="Y482" s="252"/>
      <c r="Z482" s="252"/>
      <c r="AA482" s="252"/>
      <c r="AB482" s="252"/>
      <c r="AC482" s="252"/>
    </row>
    <row r="483">
      <c r="X483" s="364"/>
      <c r="Y483" s="252"/>
      <c r="Z483" s="252"/>
      <c r="AA483" s="252"/>
      <c r="AB483" s="252"/>
      <c r="AC483" s="252"/>
    </row>
    <row r="484">
      <c r="X484" s="364"/>
      <c r="Y484" s="252"/>
      <c r="Z484" s="252"/>
      <c r="AA484" s="252"/>
      <c r="AB484" s="252"/>
      <c r="AC484" s="252"/>
    </row>
    <row r="485">
      <c r="X485" s="364"/>
      <c r="Y485" s="252"/>
      <c r="Z485" s="252"/>
      <c r="AA485" s="252"/>
      <c r="AB485" s="252"/>
      <c r="AC485" s="252"/>
    </row>
    <row r="486">
      <c r="X486" s="364"/>
      <c r="Y486" s="252"/>
      <c r="Z486" s="252"/>
      <c r="AA486" s="252"/>
      <c r="AB486" s="252"/>
      <c r="AC486" s="252"/>
    </row>
    <row r="487">
      <c r="X487" s="364"/>
      <c r="Y487" s="252"/>
      <c r="Z487" s="252"/>
      <c r="AA487" s="252"/>
      <c r="AB487" s="252"/>
      <c r="AC487" s="252"/>
    </row>
    <row r="488">
      <c r="X488" s="364"/>
      <c r="Y488" s="252"/>
      <c r="Z488" s="252"/>
      <c r="AA488" s="252"/>
      <c r="AB488" s="252"/>
      <c r="AC488" s="252"/>
    </row>
    <row r="489">
      <c r="X489" s="364"/>
      <c r="Y489" s="252"/>
      <c r="Z489" s="252"/>
      <c r="AA489" s="252"/>
      <c r="AB489" s="252"/>
      <c r="AC489" s="252"/>
    </row>
    <row r="490">
      <c r="X490" s="364"/>
      <c r="Y490" s="252"/>
      <c r="Z490" s="252"/>
      <c r="AA490" s="252"/>
      <c r="AB490" s="252"/>
      <c r="AC490" s="252"/>
    </row>
    <row r="491">
      <c r="X491" s="364"/>
      <c r="Y491" s="252"/>
      <c r="Z491" s="252"/>
      <c r="AA491" s="252"/>
      <c r="AB491" s="252"/>
      <c r="AC491" s="252"/>
    </row>
    <row r="492">
      <c r="X492" s="364"/>
      <c r="Y492" s="252"/>
      <c r="Z492" s="252"/>
      <c r="AA492" s="252"/>
      <c r="AB492" s="252"/>
      <c r="AC492" s="252"/>
    </row>
    <row r="493">
      <c r="X493" s="364"/>
      <c r="Y493" s="252"/>
      <c r="Z493" s="252"/>
      <c r="AA493" s="252"/>
      <c r="AB493" s="252"/>
      <c r="AC493" s="252"/>
    </row>
    <row r="494">
      <c r="X494" s="364"/>
      <c r="Y494" s="252"/>
      <c r="Z494" s="252"/>
      <c r="AA494" s="252"/>
      <c r="AB494" s="252"/>
      <c r="AC494" s="252"/>
    </row>
    <row r="495">
      <c r="X495" s="364"/>
      <c r="Y495" s="252"/>
      <c r="Z495" s="252"/>
      <c r="AA495" s="252"/>
      <c r="AB495" s="252"/>
      <c r="AC495" s="252"/>
    </row>
    <row r="496">
      <c r="X496" s="364"/>
      <c r="Y496" s="252"/>
      <c r="Z496" s="252"/>
      <c r="AA496" s="252"/>
      <c r="AB496" s="252"/>
      <c r="AC496" s="252"/>
    </row>
    <row r="497">
      <c r="X497" s="364"/>
      <c r="Y497" s="252"/>
      <c r="Z497" s="252"/>
      <c r="AA497" s="252"/>
      <c r="AB497" s="252"/>
      <c r="AC497" s="252"/>
    </row>
    <row r="498">
      <c r="X498" s="364"/>
      <c r="Y498" s="252"/>
      <c r="Z498" s="252"/>
      <c r="AA498" s="252"/>
      <c r="AB498" s="252"/>
      <c r="AC498" s="252"/>
    </row>
    <row r="499">
      <c r="X499" s="364"/>
      <c r="Y499" s="252"/>
      <c r="Z499" s="252"/>
      <c r="AA499" s="252"/>
      <c r="AB499" s="252"/>
      <c r="AC499" s="252"/>
    </row>
    <row r="500">
      <c r="X500" s="364"/>
      <c r="Y500" s="252"/>
      <c r="Z500" s="252"/>
      <c r="AA500" s="252"/>
      <c r="AB500" s="252"/>
      <c r="AC500" s="252"/>
    </row>
    <row r="501">
      <c r="X501" s="364"/>
      <c r="Y501" s="252"/>
      <c r="Z501" s="252"/>
      <c r="AA501" s="252"/>
      <c r="AB501" s="252"/>
      <c r="AC501" s="252"/>
    </row>
    <row r="502">
      <c r="X502" s="364"/>
      <c r="Y502" s="252"/>
      <c r="Z502" s="252"/>
      <c r="AA502" s="252"/>
      <c r="AB502" s="252"/>
      <c r="AC502" s="252"/>
    </row>
    <row r="503">
      <c r="X503" s="364"/>
      <c r="Y503" s="252"/>
      <c r="Z503" s="252"/>
      <c r="AA503" s="252"/>
      <c r="AB503" s="252"/>
      <c r="AC503" s="252"/>
    </row>
    <row r="504">
      <c r="X504" s="364"/>
      <c r="Y504" s="252"/>
      <c r="Z504" s="252"/>
      <c r="AA504" s="252"/>
      <c r="AB504" s="252"/>
      <c r="AC504" s="252"/>
    </row>
    <row r="505">
      <c r="X505" s="364"/>
      <c r="Y505" s="252"/>
      <c r="Z505" s="252"/>
      <c r="AA505" s="252"/>
      <c r="AB505" s="252"/>
      <c r="AC505" s="252"/>
    </row>
    <row r="506">
      <c r="X506" s="364"/>
      <c r="Y506" s="252"/>
      <c r="Z506" s="252"/>
      <c r="AA506" s="252"/>
      <c r="AB506" s="252"/>
      <c r="AC506" s="252"/>
    </row>
    <row r="507">
      <c r="X507" s="364"/>
      <c r="Y507" s="252"/>
      <c r="Z507" s="252"/>
      <c r="AA507" s="252"/>
      <c r="AB507" s="252"/>
      <c r="AC507" s="252"/>
    </row>
    <row r="508">
      <c r="X508" s="364"/>
      <c r="Y508" s="252"/>
      <c r="Z508" s="252"/>
      <c r="AA508" s="252"/>
      <c r="AB508" s="252"/>
      <c r="AC508" s="252"/>
    </row>
    <row r="509">
      <c r="X509" s="364"/>
      <c r="Y509" s="252"/>
      <c r="Z509" s="252"/>
      <c r="AA509" s="252"/>
      <c r="AB509" s="252"/>
      <c r="AC509" s="252"/>
    </row>
    <row r="510">
      <c r="X510" s="364"/>
      <c r="Y510" s="252"/>
      <c r="Z510" s="252"/>
      <c r="AA510" s="252"/>
      <c r="AB510" s="252"/>
      <c r="AC510" s="252"/>
    </row>
    <row r="511">
      <c r="X511" s="364"/>
      <c r="Y511" s="252"/>
      <c r="Z511" s="252"/>
      <c r="AA511" s="252"/>
      <c r="AB511" s="252"/>
      <c r="AC511" s="252"/>
    </row>
    <row r="512">
      <c r="X512" s="364"/>
      <c r="Y512" s="252"/>
      <c r="Z512" s="252"/>
      <c r="AA512" s="252"/>
      <c r="AB512" s="252"/>
      <c r="AC512" s="252"/>
    </row>
    <row r="513">
      <c r="X513" s="364"/>
      <c r="Y513" s="252"/>
      <c r="Z513" s="252"/>
      <c r="AA513" s="252"/>
      <c r="AB513" s="252"/>
      <c r="AC513" s="252"/>
    </row>
    <row r="514">
      <c r="X514" s="364"/>
      <c r="Y514" s="252"/>
      <c r="Z514" s="252"/>
      <c r="AA514" s="252"/>
      <c r="AB514" s="252"/>
      <c r="AC514" s="252"/>
    </row>
    <row r="515">
      <c r="X515" s="364"/>
      <c r="Y515" s="252"/>
      <c r="Z515" s="252"/>
      <c r="AA515" s="252"/>
      <c r="AB515" s="252"/>
      <c r="AC515" s="252"/>
    </row>
    <row r="516">
      <c r="X516" s="364"/>
      <c r="Y516" s="252"/>
      <c r="Z516" s="252"/>
      <c r="AA516" s="252"/>
      <c r="AB516" s="252"/>
      <c r="AC516" s="252"/>
    </row>
    <row r="517">
      <c r="X517" s="364"/>
      <c r="Y517" s="252"/>
      <c r="Z517" s="252"/>
      <c r="AA517" s="252"/>
      <c r="AB517" s="252"/>
      <c r="AC517" s="252"/>
    </row>
    <row r="518">
      <c r="X518" s="364"/>
      <c r="Y518" s="252"/>
      <c r="Z518" s="252"/>
      <c r="AA518" s="252"/>
      <c r="AB518" s="252"/>
      <c r="AC518" s="252"/>
    </row>
    <row r="519">
      <c r="X519" s="364"/>
      <c r="Y519" s="252"/>
      <c r="Z519" s="252"/>
      <c r="AA519" s="252"/>
      <c r="AB519" s="252"/>
      <c r="AC519" s="252"/>
    </row>
    <row r="520">
      <c r="X520" s="364"/>
      <c r="Y520" s="252"/>
      <c r="Z520" s="252"/>
      <c r="AA520" s="252"/>
      <c r="AB520" s="252"/>
      <c r="AC520" s="252"/>
    </row>
    <row r="521">
      <c r="X521" s="364"/>
      <c r="Y521" s="252"/>
      <c r="Z521" s="252"/>
      <c r="AA521" s="252"/>
      <c r="AB521" s="252"/>
      <c r="AC521" s="252"/>
    </row>
    <row r="522">
      <c r="X522" s="364"/>
      <c r="Y522" s="252"/>
      <c r="Z522" s="252"/>
      <c r="AA522" s="252"/>
      <c r="AB522" s="252"/>
      <c r="AC522" s="252"/>
    </row>
    <row r="523">
      <c r="X523" s="364"/>
      <c r="Y523" s="252"/>
      <c r="Z523" s="252"/>
      <c r="AA523" s="252"/>
      <c r="AB523" s="252"/>
      <c r="AC523" s="252"/>
    </row>
    <row r="524">
      <c r="X524" s="364"/>
      <c r="Y524" s="252"/>
      <c r="Z524" s="252"/>
      <c r="AA524" s="252"/>
      <c r="AB524" s="252"/>
      <c r="AC524" s="252"/>
    </row>
    <row r="525">
      <c r="X525" s="364"/>
      <c r="Y525" s="252"/>
      <c r="Z525" s="252"/>
      <c r="AA525" s="252"/>
      <c r="AB525" s="252"/>
      <c r="AC525" s="252"/>
    </row>
    <row r="526">
      <c r="X526" s="364"/>
      <c r="Y526" s="252"/>
      <c r="Z526" s="252"/>
      <c r="AA526" s="252"/>
      <c r="AB526" s="252"/>
      <c r="AC526" s="252"/>
    </row>
    <row r="527">
      <c r="X527" s="364"/>
      <c r="Y527" s="252"/>
      <c r="Z527" s="252"/>
      <c r="AA527" s="252"/>
      <c r="AB527" s="252"/>
      <c r="AC527" s="252"/>
    </row>
    <row r="528">
      <c r="X528" s="364"/>
      <c r="Y528" s="252"/>
      <c r="Z528" s="252"/>
      <c r="AA528" s="252"/>
      <c r="AB528" s="252"/>
      <c r="AC528" s="252"/>
    </row>
    <row r="529">
      <c r="X529" s="364"/>
      <c r="Y529" s="252"/>
      <c r="Z529" s="252"/>
      <c r="AA529" s="252"/>
      <c r="AB529" s="252"/>
      <c r="AC529" s="252"/>
    </row>
    <row r="530">
      <c r="X530" s="364"/>
      <c r="Y530" s="252"/>
      <c r="Z530" s="252"/>
      <c r="AA530" s="252"/>
      <c r="AB530" s="252"/>
      <c r="AC530" s="252"/>
    </row>
    <row r="531">
      <c r="X531" s="364"/>
      <c r="Y531" s="252"/>
      <c r="Z531" s="252"/>
      <c r="AA531" s="252"/>
      <c r="AB531" s="252"/>
      <c r="AC531" s="252"/>
    </row>
    <row r="532">
      <c r="X532" s="364"/>
      <c r="Y532" s="252"/>
      <c r="Z532" s="252"/>
      <c r="AA532" s="252"/>
      <c r="AB532" s="252"/>
      <c r="AC532" s="252"/>
    </row>
    <row r="533">
      <c r="X533" s="364"/>
      <c r="Y533" s="252"/>
      <c r="Z533" s="252"/>
      <c r="AA533" s="252"/>
      <c r="AB533" s="252"/>
      <c r="AC533" s="252"/>
    </row>
    <row r="534">
      <c r="X534" s="364"/>
      <c r="Y534" s="252"/>
      <c r="Z534" s="252"/>
      <c r="AA534" s="252"/>
      <c r="AB534" s="252"/>
      <c r="AC534" s="252"/>
    </row>
    <row r="535">
      <c r="X535" s="364"/>
      <c r="Y535" s="252"/>
      <c r="Z535" s="252"/>
      <c r="AA535" s="252"/>
      <c r="AB535" s="252"/>
      <c r="AC535" s="252"/>
    </row>
    <row r="536">
      <c r="X536" s="364"/>
      <c r="Y536" s="252"/>
      <c r="Z536" s="252"/>
      <c r="AA536" s="252"/>
      <c r="AB536" s="252"/>
      <c r="AC536" s="252"/>
    </row>
    <row r="537">
      <c r="X537" s="364"/>
      <c r="Y537" s="252"/>
      <c r="Z537" s="252"/>
      <c r="AA537" s="252"/>
      <c r="AB537" s="252"/>
      <c r="AC537" s="252"/>
    </row>
    <row r="538">
      <c r="X538" s="364"/>
      <c r="Y538" s="252"/>
      <c r="Z538" s="252"/>
      <c r="AA538" s="252"/>
      <c r="AB538" s="252"/>
      <c r="AC538" s="252"/>
    </row>
    <row r="539">
      <c r="X539" s="364"/>
      <c r="Y539" s="252"/>
      <c r="Z539" s="252"/>
      <c r="AA539" s="252"/>
      <c r="AB539" s="252"/>
      <c r="AC539" s="252"/>
    </row>
    <row r="540">
      <c r="X540" s="364"/>
      <c r="Y540" s="252"/>
      <c r="Z540" s="252"/>
      <c r="AA540" s="252"/>
      <c r="AB540" s="252"/>
      <c r="AC540" s="252"/>
    </row>
    <row r="541">
      <c r="X541" s="364"/>
      <c r="Y541" s="252"/>
      <c r="Z541" s="252"/>
      <c r="AA541" s="252"/>
      <c r="AB541" s="252"/>
      <c r="AC541" s="252"/>
    </row>
    <row r="542">
      <c r="X542" s="364"/>
      <c r="Y542" s="252"/>
      <c r="Z542" s="252"/>
      <c r="AA542" s="252"/>
      <c r="AB542" s="252"/>
      <c r="AC542" s="252"/>
    </row>
    <row r="543">
      <c r="X543" s="364"/>
      <c r="Y543" s="252"/>
      <c r="Z543" s="252"/>
      <c r="AA543" s="252"/>
      <c r="AB543" s="252"/>
      <c r="AC543" s="252"/>
    </row>
    <row r="544">
      <c r="X544" s="364"/>
      <c r="Y544" s="252"/>
      <c r="Z544" s="252"/>
      <c r="AA544" s="252"/>
      <c r="AB544" s="252"/>
      <c r="AC544" s="252"/>
    </row>
    <row r="545">
      <c r="X545" s="364"/>
      <c r="Y545" s="252"/>
      <c r="Z545" s="252"/>
      <c r="AA545" s="252"/>
      <c r="AB545" s="252"/>
      <c r="AC545" s="252"/>
    </row>
    <row r="546">
      <c r="X546" s="364"/>
      <c r="Y546" s="252"/>
      <c r="Z546" s="252"/>
      <c r="AA546" s="252"/>
      <c r="AB546" s="252"/>
      <c r="AC546" s="252"/>
    </row>
    <row r="547">
      <c r="X547" s="364"/>
      <c r="Y547" s="252"/>
      <c r="Z547" s="252"/>
      <c r="AA547" s="252"/>
      <c r="AB547" s="252"/>
      <c r="AC547" s="252"/>
    </row>
    <row r="548">
      <c r="X548" s="364"/>
      <c r="Y548" s="252"/>
      <c r="Z548" s="252"/>
      <c r="AA548" s="252"/>
      <c r="AB548" s="252"/>
      <c r="AC548" s="252"/>
    </row>
    <row r="549">
      <c r="X549" s="364"/>
      <c r="Y549" s="252"/>
      <c r="Z549" s="252"/>
      <c r="AA549" s="252"/>
      <c r="AB549" s="252"/>
      <c r="AC549" s="252"/>
    </row>
    <row r="550">
      <c r="X550" s="364"/>
      <c r="Y550" s="252"/>
      <c r="Z550" s="252"/>
      <c r="AA550" s="252"/>
      <c r="AB550" s="252"/>
      <c r="AC550" s="252"/>
    </row>
    <row r="551">
      <c r="X551" s="364"/>
      <c r="Y551" s="252"/>
      <c r="Z551" s="252"/>
      <c r="AA551" s="252"/>
      <c r="AB551" s="252"/>
      <c r="AC551" s="252"/>
    </row>
    <row r="552">
      <c r="X552" s="364"/>
      <c r="Y552" s="252"/>
      <c r="Z552" s="252"/>
      <c r="AA552" s="252"/>
      <c r="AB552" s="252"/>
      <c r="AC552" s="252"/>
    </row>
    <row r="553">
      <c r="X553" s="364"/>
      <c r="Y553" s="252"/>
      <c r="Z553" s="252"/>
      <c r="AA553" s="252"/>
      <c r="AB553" s="252"/>
      <c r="AC553" s="252"/>
    </row>
    <row r="554">
      <c r="X554" s="364"/>
      <c r="Y554" s="252"/>
      <c r="Z554" s="252"/>
      <c r="AA554" s="252"/>
      <c r="AB554" s="252"/>
      <c r="AC554" s="252"/>
    </row>
    <row r="555">
      <c r="X555" s="364"/>
      <c r="Y555" s="252"/>
      <c r="Z555" s="252"/>
      <c r="AA555" s="252"/>
      <c r="AB555" s="252"/>
      <c r="AC555" s="252"/>
    </row>
    <row r="556">
      <c r="X556" s="364"/>
      <c r="Y556" s="252"/>
      <c r="Z556" s="252"/>
      <c r="AA556" s="252"/>
      <c r="AB556" s="252"/>
      <c r="AC556" s="252"/>
    </row>
    <row r="557">
      <c r="X557" s="364"/>
      <c r="Y557" s="252"/>
      <c r="Z557" s="252"/>
      <c r="AA557" s="252"/>
      <c r="AB557" s="252"/>
      <c r="AC557" s="252"/>
    </row>
    <row r="558">
      <c r="X558" s="364"/>
      <c r="Y558" s="252"/>
      <c r="Z558" s="252"/>
      <c r="AA558" s="252"/>
      <c r="AB558" s="252"/>
      <c r="AC558" s="252"/>
    </row>
    <row r="559">
      <c r="X559" s="364"/>
      <c r="Y559" s="252"/>
      <c r="Z559" s="252"/>
      <c r="AA559" s="252"/>
      <c r="AB559" s="252"/>
      <c r="AC559" s="252"/>
    </row>
    <row r="560">
      <c r="X560" s="364"/>
      <c r="Y560" s="252"/>
      <c r="Z560" s="252"/>
      <c r="AA560" s="252"/>
      <c r="AB560" s="252"/>
      <c r="AC560" s="252"/>
    </row>
    <row r="561">
      <c r="X561" s="364"/>
      <c r="Y561" s="252"/>
      <c r="Z561" s="252"/>
      <c r="AA561" s="252"/>
      <c r="AB561" s="252"/>
      <c r="AC561" s="252"/>
    </row>
    <row r="562">
      <c r="X562" s="364"/>
      <c r="Y562" s="252"/>
      <c r="Z562" s="252"/>
      <c r="AA562" s="252"/>
      <c r="AB562" s="252"/>
      <c r="AC562" s="252"/>
    </row>
    <row r="563">
      <c r="X563" s="364"/>
      <c r="Y563" s="252"/>
      <c r="Z563" s="252"/>
      <c r="AA563" s="252"/>
      <c r="AB563" s="252"/>
      <c r="AC563" s="252"/>
    </row>
    <row r="564">
      <c r="X564" s="364"/>
      <c r="Y564" s="252"/>
      <c r="Z564" s="252"/>
      <c r="AA564" s="252"/>
      <c r="AB564" s="252"/>
      <c r="AC564" s="252"/>
    </row>
    <row r="565">
      <c r="X565" s="364"/>
      <c r="Y565" s="252"/>
      <c r="Z565" s="252"/>
      <c r="AA565" s="252"/>
      <c r="AB565" s="252"/>
      <c r="AC565" s="252"/>
    </row>
    <row r="566">
      <c r="X566" s="364"/>
      <c r="Y566" s="252"/>
      <c r="Z566" s="252"/>
      <c r="AA566" s="252"/>
      <c r="AB566" s="252"/>
      <c r="AC566" s="252"/>
    </row>
    <row r="567">
      <c r="X567" s="364"/>
      <c r="Y567" s="252"/>
      <c r="Z567" s="252"/>
      <c r="AA567" s="252"/>
      <c r="AB567" s="252"/>
      <c r="AC567" s="252"/>
    </row>
    <row r="568">
      <c r="X568" s="364"/>
      <c r="Y568" s="252"/>
      <c r="Z568" s="252"/>
      <c r="AA568" s="252"/>
      <c r="AB568" s="252"/>
      <c r="AC568" s="252"/>
    </row>
    <row r="569">
      <c r="X569" s="364"/>
      <c r="Y569" s="252"/>
      <c r="Z569" s="252"/>
      <c r="AA569" s="252"/>
      <c r="AB569" s="252"/>
      <c r="AC569" s="252"/>
    </row>
    <row r="570">
      <c r="X570" s="364"/>
      <c r="Y570" s="252"/>
      <c r="Z570" s="252"/>
      <c r="AA570" s="252"/>
      <c r="AB570" s="252"/>
      <c r="AC570" s="252"/>
    </row>
    <row r="571">
      <c r="X571" s="364"/>
      <c r="Y571" s="252"/>
      <c r="Z571" s="252"/>
      <c r="AA571" s="252"/>
      <c r="AB571" s="252"/>
      <c r="AC571" s="252"/>
    </row>
    <row r="572">
      <c r="X572" s="364"/>
      <c r="Y572" s="252"/>
      <c r="Z572" s="252"/>
      <c r="AA572" s="252"/>
      <c r="AB572" s="252"/>
      <c r="AC572" s="252"/>
    </row>
    <row r="573">
      <c r="X573" s="364"/>
      <c r="Y573" s="252"/>
      <c r="Z573" s="252"/>
      <c r="AA573" s="252"/>
      <c r="AB573" s="252"/>
      <c r="AC573" s="252"/>
    </row>
    <row r="574">
      <c r="X574" s="364"/>
      <c r="Y574" s="252"/>
      <c r="Z574" s="252"/>
      <c r="AA574" s="252"/>
      <c r="AB574" s="252"/>
      <c r="AC574" s="252"/>
    </row>
    <row r="575">
      <c r="X575" s="364"/>
      <c r="Y575" s="252"/>
      <c r="Z575" s="252"/>
      <c r="AA575" s="252"/>
      <c r="AB575" s="252"/>
      <c r="AC575" s="252"/>
    </row>
    <row r="576">
      <c r="X576" s="364"/>
      <c r="Y576" s="252"/>
      <c r="Z576" s="252"/>
      <c r="AA576" s="252"/>
      <c r="AB576" s="252"/>
      <c r="AC576" s="252"/>
    </row>
    <row r="577">
      <c r="X577" s="364"/>
      <c r="Y577" s="252"/>
      <c r="Z577" s="252"/>
      <c r="AA577" s="252"/>
      <c r="AB577" s="252"/>
      <c r="AC577" s="252"/>
    </row>
    <row r="578">
      <c r="X578" s="364"/>
      <c r="Y578" s="252"/>
      <c r="Z578" s="252"/>
      <c r="AA578" s="252"/>
      <c r="AB578" s="252"/>
      <c r="AC578" s="252"/>
    </row>
    <row r="579">
      <c r="X579" s="364"/>
      <c r="Y579" s="252"/>
      <c r="Z579" s="252"/>
      <c r="AA579" s="252"/>
      <c r="AB579" s="252"/>
      <c r="AC579" s="252"/>
    </row>
    <row r="580">
      <c r="X580" s="364"/>
      <c r="Y580" s="252"/>
      <c r="Z580" s="252"/>
      <c r="AA580" s="252"/>
      <c r="AB580" s="252"/>
      <c r="AC580" s="252"/>
    </row>
    <row r="581">
      <c r="X581" s="364"/>
      <c r="Y581" s="252"/>
      <c r="Z581" s="252"/>
      <c r="AA581" s="252"/>
      <c r="AB581" s="252"/>
      <c r="AC581" s="252"/>
    </row>
    <row r="582">
      <c r="X582" s="364"/>
      <c r="Y582" s="252"/>
      <c r="Z582" s="252"/>
      <c r="AA582" s="252"/>
      <c r="AB582" s="252"/>
      <c r="AC582" s="252"/>
    </row>
    <row r="583">
      <c r="X583" s="364"/>
      <c r="Y583" s="252"/>
      <c r="Z583" s="252"/>
      <c r="AA583" s="252"/>
      <c r="AB583" s="252"/>
      <c r="AC583" s="252"/>
    </row>
    <row r="584">
      <c r="X584" s="364"/>
      <c r="Y584" s="252"/>
      <c r="Z584" s="252"/>
      <c r="AA584" s="252"/>
      <c r="AB584" s="252"/>
      <c r="AC584" s="252"/>
    </row>
    <row r="585">
      <c r="X585" s="364"/>
      <c r="Y585" s="252"/>
      <c r="Z585" s="252"/>
      <c r="AA585" s="252"/>
      <c r="AB585" s="252"/>
      <c r="AC585" s="252"/>
    </row>
    <row r="586">
      <c r="X586" s="364"/>
      <c r="Y586" s="252"/>
      <c r="Z586" s="252"/>
      <c r="AA586" s="252"/>
      <c r="AB586" s="252"/>
      <c r="AC586" s="252"/>
    </row>
    <row r="587">
      <c r="X587" s="364"/>
      <c r="Y587" s="252"/>
      <c r="Z587" s="252"/>
      <c r="AA587" s="252"/>
      <c r="AB587" s="252"/>
      <c r="AC587" s="252"/>
    </row>
    <row r="588">
      <c r="X588" s="364"/>
      <c r="Y588" s="252"/>
      <c r="Z588" s="252"/>
      <c r="AA588" s="252"/>
      <c r="AB588" s="252"/>
      <c r="AC588" s="252"/>
    </row>
    <row r="589">
      <c r="X589" s="364"/>
      <c r="Y589" s="252"/>
      <c r="Z589" s="252"/>
      <c r="AA589" s="252"/>
      <c r="AB589" s="252"/>
      <c r="AC589" s="252"/>
    </row>
    <row r="590">
      <c r="X590" s="364"/>
      <c r="Y590" s="252"/>
      <c r="Z590" s="252"/>
      <c r="AA590" s="252"/>
      <c r="AB590" s="252"/>
      <c r="AC590" s="252"/>
    </row>
    <row r="591">
      <c r="X591" s="364"/>
      <c r="Y591" s="252"/>
      <c r="Z591" s="252"/>
      <c r="AA591" s="252"/>
      <c r="AB591" s="252"/>
      <c r="AC591" s="252"/>
    </row>
    <row r="592">
      <c r="X592" s="364"/>
      <c r="Y592" s="252"/>
      <c r="Z592" s="252"/>
      <c r="AA592" s="252"/>
      <c r="AB592" s="252"/>
      <c r="AC592" s="252"/>
    </row>
    <row r="593">
      <c r="X593" s="364"/>
      <c r="Y593" s="252"/>
      <c r="Z593" s="252"/>
      <c r="AA593" s="252"/>
      <c r="AB593" s="252"/>
      <c r="AC593" s="252"/>
    </row>
    <row r="594">
      <c r="X594" s="364"/>
      <c r="Y594" s="252"/>
      <c r="Z594" s="252"/>
      <c r="AA594" s="252"/>
      <c r="AB594" s="252"/>
      <c r="AC594" s="252"/>
    </row>
    <row r="595">
      <c r="X595" s="364"/>
      <c r="Y595" s="252"/>
      <c r="Z595" s="252"/>
      <c r="AA595" s="252"/>
      <c r="AB595" s="252"/>
      <c r="AC595" s="252"/>
    </row>
    <row r="596">
      <c r="X596" s="364"/>
      <c r="Y596" s="252"/>
      <c r="Z596" s="252"/>
      <c r="AA596" s="252"/>
      <c r="AB596" s="252"/>
      <c r="AC596" s="252"/>
    </row>
    <row r="597">
      <c r="X597" s="364"/>
      <c r="Y597" s="252"/>
      <c r="Z597" s="252"/>
      <c r="AA597" s="252"/>
      <c r="AB597" s="252"/>
      <c r="AC597" s="252"/>
    </row>
    <row r="598">
      <c r="X598" s="364"/>
      <c r="Y598" s="252"/>
      <c r="Z598" s="252"/>
      <c r="AA598" s="252"/>
      <c r="AB598" s="252"/>
      <c r="AC598" s="252"/>
    </row>
    <row r="599">
      <c r="X599" s="364"/>
      <c r="Y599" s="252"/>
      <c r="Z599" s="252"/>
      <c r="AA599" s="252"/>
      <c r="AB599" s="252"/>
      <c r="AC599" s="252"/>
    </row>
    <row r="600">
      <c r="X600" s="364"/>
      <c r="Y600" s="252"/>
      <c r="Z600" s="252"/>
      <c r="AA600" s="252"/>
      <c r="AB600" s="252"/>
      <c r="AC600" s="252"/>
    </row>
    <row r="601">
      <c r="X601" s="364"/>
      <c r="Y601" s="252"/>
      <c r="Z601" s="252"/>
      <c r="AA601" s="252"/>
      <c r="AB601" s="252"/>
      <c r="AC601" s="252"/>
    </row>
    <row r="602">
      <c r="X602" s="364"/>
      <c r="Y602" s="252"/>
      <c r="Z602" s="252"/>
      <c r="AA602" s="252"/>
      <c r="AB602" s="252"/>
      <c r="AC602" s="252"/>
    </row>
    <row r="603">
      <c r="X603" s="364"/>
      <c r="Y603" s="252"/>
      <c r="Z603" s="252"/>
      <c r="AA603" s="252"/>
      <c r="AB603" s="252"/>
      <c r="AC603" s="252"/>
    </row>
    <row r="604">
      <c r="X604" s="364"/>
      <c r="Y604" s="252"/>
      <c r="Z604" s="252"/>
      <c r="AA604" s="252"/>
      <c r="AB604" s="252"/>
      <c r="AC604" s="252"/>
    </row>
    <row r="605">
      <c r="X605" s="364"/>
      <c r="Y605" s="252"/>
      <c r="Z605" s="252"/>
      <c r="AA605" s="252"/>
      <c r="AB605" s="252"/>
      <c r="AC605" s="252"/>
    </row>
    <row r="606">
      <c r="X606" s="364"/>
      <c r="Y606" s="252"/>
      <c r="Z606" s="252"/>
      <c r="AA606" s="252"/>
      <c r="AB606" s="252"/>
      <c r="AC606" s="252"/>
    </row>
    <row r="607">
      <c r="X607" s="364"/>
      <c r="Y607" s="252"/>
      <c r="Z607" s="252"/>
      <c r="AA607" s="252"/>
      <c r="AB607" s="252"/>
      <c r="AC607" s="252"/>
    </row>
    <row r="608">
      <c r="X608" s="364"/>
      <c r="Y608" s="252"/>
      <c r="Z608" s="252"/>
      <c r="AA608" s="252"/>
      <c r="AB608" s="252"/>
      <c r="AC608" s="252"/>
    </row>
    <row r="609">
      <c r="X609" s="364"/>
      <c r="Y609" s="252"/>
      <c r="Z609" s="252"/>
      <c r="AA609" s="252"/>
      <c r="AB609" s="252"/>
      <c r="AC609" s="252"/>
    </row>
    <row r="610">
      <c r="X610" s="364"/>
      <c r="Y610" s="252"/>
      <c r="Z610" s="252"/>
      <c r="AA610" s="252"/>
      <c r="AB610" s="252"/>
      <c r="AC610" s="252"/>
    </row>
    <row r="611">
      <c r="X611" s="364"/>
      <c r="Y611" s="252"/>
      <c r="Z611" s="252"/>
      <c r="AA611" s="252"/>
      <c r="AB611" s="252"/>
      <c r="AC611" s="252"/>
    </row>
    <row r="612">
      <c r="X612" s="364"/>
      <c r="Y612" s="252"/>
      <c r="Z612" s="252"/>
      <c r="AA612" s="252"/>
      <c r="AB612" s="252"/>
      <c r="AC612" s="252"/>
    </row>
    <row r="613">
      <c r="X613" s="364"/>
      <c r="Y613" s="252"/>
      <c r="Z613" s="252"/>
      <c r="AA613" s="252"/>
      <c r="AB613" s="252"/>
      <c r="AC613" s="252"/>
    </row>
    <row r="614">
      <c r="X614" s="364"/>
      <c r="Y614" s="252"/>
      <c r="Z614" s="252"/>
      <c r="AA614" s="252"/>
      <c r="AB614" s="252"/>
      <c r="AC614" s="252"/>
    </row>
    <row r="615">
      <c r="X615" s="364"/>
      <c r="Y615" s="252"/>
      <c r="Z615" s="252"/>
      <c r="AA615" s="252"/>
      <c r="AB615" s="252"/>
      <c r="AC615" s="252"/>
    </row>
    <row r="616">
      <c r="X616" s="364"/>
      <c r="Y616" s="252"/>
      <c r="Z616" s="252"/>
      <c r="AA616" s="252"/>
      <c r="AB616" s="252"/>
      <c r="AC616" s="252"/>
    </row>
    <row r="617">
      <c r="X617" s="364"/>
      <c r="Y617" s="252"/>
      <c r="Z617" s="252"/>
      <c r="AA617" s="252"/>
      <c r="AB617" s="252"/>
      <c r="AC617" s="252"/>
    </row>
    <row r="618">
      <c r="X618" s="364"/>
      <c r="Y618" s="252"/>
      <c r="Z618" s="252"/>
      <c r="AA618" s="252"/>
      <c r="AB618" s="252"/>
      <c r="AC618" s="252"/>
    </row>
    <row r="619">
      <c r="X619" s="364"/>
      <c r="Y619" s="252"/>
      <c r="Z619" s="252"/>
      <c r="AA619" s="252"/>
      <c r="AB619" s="252"/>
      <c r="AC619" s="252"/>
    </row>
    <row r="620">
      <c r="X620" s="364"/>
      <c r="Y620" s="252"/>
      <c r="Z620" s="252"/>
      <c r="AA620" s="252"/>
      <c r="AB620" s="252"/>
      <c r="AC620" s="252"/>
    </row>
    <row r="621">
      <c r="X621" s="364"/>
      <c r="Y621" s="252"/>
      <c r="Z621" s="252"/>
      <c r="AA621" s="252"/>
      <c r="AB621" s="252"/>
      <c r="AC621" s="252"/>
    </row>
    <row r="622">
      <c r="X622" s="364"/>
      <c r="Y622" s="252"/>
      <c r="Z622" s="252"/>
      <c r="AA622" s="252"/>
      <c r="AB622" s="252"/>
      <c r="AC622" s="252"/>
    </row>
    <row r="623">
      <c r="X623" s="364"/>
      <c r="Y623" s="252"/>
      <c r="Z623" s="252"/>
      <c r="AA623" s="252"/>
      <c r="AB623" s="252"/>
      <c r="AC623" s="252"/>
    </row>
    <row r="624">
      <c r="X624" s="364"/>
      <c r="Y624" s="252"/>
      <c r="Z624" s="252"/>
      <c r="AA624" s="252"/>
      <c r="AB624" s="252"/>
      <c r="AC624" s="252"/>
    </row>
    <row r="625">
      <c r="X625" s="364"/>
      <c r="Y625" s="252"/>
      <c r="Z625" s="252"/>
      <c r="AA625" s="252"/>
      <c r="AB625" s="252"/>
      <c r="AC625" s="252"/>
    </row>
    <row r="626">
      <c r="X626" s="364"/>
      <c r="Y626" s="252"/>
      <c r="Z626" s="252"/>
      <c r="AA626" s="252"/>
      <c r="AB626" s="252"/>
      <c r="AC626" s="252"/>
    </row>
    <row r="627">
      <c r="X627" s="364"/>
      <c r="Y627" s="252"/>
      <c r="Z627" s="252"/>
      <c r="AA627" s="252"/>
      <c r="AB627" s="252"/>
      <c r="AC627" s="252"/>
    </row>
    <row r="628">
      <c r="X628" s="364"/>
      <c r="Y628" s="252"/>
      <c r="Z628" s="252"/>
      <c r="AA628" s="252"/>
      <c r="AB628" s="252"/>
      <c r="AC628" s="252"/>
    </row>
    <row r="629">
      <c r="X629" s="364"/>
      <c r="Y629" s="252"/>
      <c r="Z629" s="252"/>
      <c r="AA629" s="252"/>
      <c r="AB629" s="252"/>
      <c r="AC629" s="252"/>
    </row>
    <row r="630">
      <c r="X630" s="364"/>
      <c r="Y630" s="252"/>
      <c r="Z630" s="252"/>
      <c r="AA630" s="252"/>
      <c r="AB630" s="252"/>
      <c r="AC630" s="252"/>
    </row>
    <row r="631">
      <c r="X631" s="364"/>
      <c r="Y631" s="252"/>
      <c r="Z631" s="252"/>
      <c r="AA631" s="252"/>
      <c r="AB631" s="252"/>
      <c r="AC631" s="252"/>
    </row>
    <row r="632">
      <c r="X632" s="364"/>
      <c r="Y632" s="252"/>
      <c r="Z632" s="252"/>
      <c r="AA632" s="252"/>
      <c r="AB632" s="252"/>
      <c r="AC632" s="252"/>
    </row>
    <row r="633">
      <c r="X633" s="364"/>
      <c r="Y633" s="252"/>
      <c r="Z633" s="252"/>
      <c r="AA633" s="252"/>
      <c r="AB633" s="252"/>
      <c r="AC633" s="252"/>
    </row>
    <row r="634">
      <c r="X634" s="364"/>
      <c r="Y634" s="252"/>
      <c r="Z634" s="252"/>
      <c r="AA634" s="252"/>
      <c r="AB634" s="252"/>
      <c r="AC634" s="252"/>
    </row>
    <row r="635">
      <c r="X635" s="364"/>
      <c r="Y635" s="252"/>
      <c r="Z635" s="252"/>
      <c r="AA635" s="252"/>
      <c r="AB635" s="252"/>
      <c r="AC635" s="252"/>
    </row>
    <row r="636">
      <c r="X636" s="364"/>
      <c r="Y636" s="252"/>
      <c r="Z636" s="252"/>
      <c r="AA636" s="252"/>
      <c r="AB636" s="252"/>
      <c r="AC636" s="252"/>
    </row>
    <row r="637">
      <c r="X637" s="364"/>
      <c r="Y637" s="252"/>
      <c r="Z637" s="252"/>
      <c r="AA637" s="252"/>
      <c r="AB637" s="252"/>
      <c r="AC637" s="252"/>
    </row>
    <row r="638">
      <c r="X638" s="364"/>
      <c r="Y638" s="252"/>
      <c r="Z638" s="252"/>
      <c r="AA638" s="252"/>
      <c r="AB638" s="252"/>
      <c r="AC638" s="252"/>
    </row>
    <row r="639">
      <c r="X639" s="364"/>
      <c r="Y639" s="252"/>
      <c r="Z639" s="252"/>
      <c r="AA639" s="252"/>
      <c r="AB639" s="252"/>
      <c r="AC639" s="252"/>
    </row>
    <row r="640">
      <c r="X640" s="364"/>
      <c r="Y640" s="252"/>
      <c r="Z640" s="252"/>
      <c r="AA640" s="252"/>
      <c r="AB640" s="252"/>
      <c r="AC640" s="252"/>
    </row>
    <row r="641">
      <c r="X641" s="364"/>
      <c r="Y641" s="252"/>
      <c r="Z641" s="252"/>
      <c r="AA641" s="252"/>
      <c r="AB641" s="252"/>
      <c r="AC641" s="252"/>
    </row>
    <row r="642">
      <c r="X642" s="364"/>
      <c r="Y642" s="252"/>
      <c r="Z642" s="252"/>
      <c r="AA642" s="252"/>
      <c r="AB642" s="252"/>
      <c r="AC642" s="252"/>
    </row>
    <row r="643">
      <c r="X643" s="364"/>
      <c r="Y643" s="252"/>
      <c r="Z643" s="252"/>
      <c r="AA643" s="252"/>
      <c r="AB643" s="252"/>
      <c r="AC643" s="252"/>
    </row>
    <row r="644">
      <c r="X644" s="364"/>
      <c r="Y644" s="252"/>
      <c r="Z644" s="252"/>
      <c r="AA644" s="252"/>
      <c r="AB644" s="252"/>
      <c r="AC644" s="252"/>
    </row>
    <row r="645">
      <c r="X645" s="364"/>
      <c r="Y645" s="252"/>
      <c r="Z645" s="252"/>
      <c r="AA645" s="252"/>
      <c r="AB645" s="252"/>
      <c r="AC645" s="252"/>
    </row>
    <row r="646">
      <c r="X646" s="364"/>
      <c r="Y646" s="252"/>
      <c r="Z646" s="252"/>
      <c r="AA646" s="252"/>
      <c r="AB646" s="252"/>
      <c r="AC646" s="252"/>
    </row>
    <row r="647">
      <c r="X647" s="364"/>
      <c r="Y647" s="252"/>
      <c r="Z647" s="252"/>
      <c r="AA647" s="252"/>
      <c r="AB647" s="252"/>
      <c r="AC647" s="252"/>
    </row>
    <row r="648">
      <c r="X648" s="364"/>
      <c r="Y648" s="252"/>
      <c r="Z648" s="252"/>
      <c r="AA648" s="252"/>
      <c r="AB648" s="252"/>
      <c r="AC648" s="252"/>
    </row>
    <row r="649">
      <c r="X649" s="364"/>
      <c r="Y649" s="252"/>
      <c r="Z649" s="252"/>
      <c r="AA649" s="252"/>
      <c r="AB649" s="252"/>
      <c r="AC649" s="252"/>
    </row>
    <row r="650">
      <c r="X650" s="364"/>
      <c r="Y650" s="252"/>
      <c r="Z650" s="252"/>
      <c r="AA650" s="252"/>
      <c r="AB650" s="252"/>
      <c r="AC650" s="252"/>
    </row>
    <row r="651">
      <c r="X651" s="364"/>
      <c r="Y651" s="252"/>
      <c r="Z651" s="252"/>
      <c r="AA651" s="252"/>
      <c r="AB651" s="252"/>
      <c r="AC651" s="252"/>
    </row>
    <row r="652">
      <c r="X652" s="364"/>
      <c r="Y652" s="252"/>
      <c r="Z652" s="252"/>
      <c r="AA652" s="252"/>
      <c r="AB652" s="252"/>
      <c r="AC652" s="252"/>
    </row>
    <row r="653">
      <c r="X653" s="364"/>
      <c r="Y653" s="252"/>
      <c r="Z653" s="252"/>
      <c r="AA653" s="252"/>
      <c r="AB653" s="252"/>
      <c r="AC653" s="252"/>
    </row>
    <row r="654">
      <c r="X654" s="364"/>
      <c r="Y654" s="252"/>
      <c r="Z654" s="252"/>
      <c r="AA654" s="252"/>
      <c r="AB654" s="252"/>
      <c r="AC654" s="252"/>
    </row>
    <row r="655">
      <c r="X655" s="364"/>
      <c r="Y655" s="252"/>
      <c r="Z655" s="252"/>
      <c r="AA655" s="252"/>
      <c r="AB655" s="252"/>
      <c r="AC655" s="252"/>
    </row>
    <row r="656">
      <c r="X656" s="364"/>
      <c r="Y656" s="252"/>
      <c r="Z656" s="252"/>
      <c r="AA656" s="252"/>
      <c r="AB656" s="252"/>
      <c r="AC656" s="252"/>
    </row>
    <row r="657">
      <c r="X657" s="364"/>
      <c r="Y657" s="252"/>
      <c r="Z657" s="252"/>
      <c r="AA657" s="252"/>
      <c r="AB657" s="252"/>
      <c r="AC657" s="252"/>
    </row>
    <row r="658">
      <c r="X658" s="364"/>
      <c r="Y658" s="252"/>
      <c r="Z658" s="252"/>
      <c r="AA658" s="252"/>
      <c r="AB658" s="252"/>
      <c r="AC658" s="252"/>
    </row>
    <row r="659">
      <c r="X659" s="364"/>
      <c r="Y659" s="252"/>
      <c r="Z659" s="252"/>
      <c r="AA659" s="252"/>
      <c r="AB659" s="252"/>
      <c r="AC659" s="252"/>
    </row>
    <row r="660">
      <c r="X660" s="364"/>
      <c r="Y660" s="252"/>
      <c r="Z660" s="252"/>
      <c r="AA660" s="252"/>
      <c r="AB660" s="252"/>
      <c r="AC660" s="252"/>
    </row>
    <row r="661">
      <c r="X661" s="364"/>
      <c r="Y661" s="252"/>
      <c r="Z661" s="252"/>
      <c r="AA661" s="252"/>
      <c r="AB661" s="252"/>
      <c r="AC661" s="252"/>
    </row>
    <row r="662">
      <c r="X662" s="364"/>
      <c r="Y662" s="252"/>
      <c r="Z662" s="252"/>
      <c r="AA662" s="252"/>
      <c r="AB662" s="252"/>
      <c r="AC662" s="252"/>
    </row>
    <row r="663">
      <c r="X663" s="364"/>
      <c r="Y663" s="252"/>
      <c r="Z663" s="252"/>
      <c r="AA663" s="252"/>
      <c r="AB663" s="252"/>
      <c r="AC663" s="252"/>
    </row>
    <row r="664">
      <c r="X664" s="364"/>
      <c r="Y664" s="252"/>
      <c r="Z664" s="252"/>
      <c r="AA664" s="252"/>
      <c r="AB664" s="252"/>
      <c r="AC664" s="252"/>
    </row>
    <row r="665">
      <c r="X665" s="364"/>
      <c r="Y665" s="252"/>
      <c r="Z665" s="252"/>
      <c r="AA665" s="252"/>
      <c r="AB665" s="252"/>
      <c r="AC665" s="252"/>
    </row>
    <row r="666">
      <c r="X666" s="364"/>
      <c r="Y666" s="252"/>
      <c r="Z666" s="252"/>
      <c r="AA666" s="252"/>
      <c r="AB666" s="252"/>
      <c r="AC666" s="252"/>
    </row>
    <row r="667">
      <c r="X667" s="364"/>
      <c r="Y667" s="252"/>
      <c r="Z667" s="252"/>
      <c r="AA667" s="252"/>
      <c r="AB667" s="252"/>
      <c r="AC667" s="252"/>
    </row>
    <row r="668">
      <c r="X668" s="364"/>
      <c r="Y668" s="252"/>
      <c r="Z668" s="252"/>
      <c r="AA668" s="252"/>
      <c r="AB668" s="252"/>
      <c r="AC668" s="252"/>
    </row>
    <row r="669">
      <c r="X669" s="364"/>
      <c r="Y669" s="252"/>
      <c r="Z669" s="252"/>
      <c r="AA669" s="252"/>
      <c r="AB669" s="252"/>
      <c r="AC669" s="252"/>
    </row>
    <row r="670">
      <c r="X670" s="364"/>
      <c r="Y670" s="252"/>
      <c r="Z670" s="252"/>
      <c r="AA670" s="252"/>
      <c r="AB670" s="252"/>
      <c r="AC670" s="252"/>
    </row>
    <row r="671">
      <c r="X671" s="364"/>
      <c r="Y671" s="252"/>
      <c r="Z671" s="252"/>
      <c r="AA671" s="252"/>
      <c r="AB671" s="252"/>
      <c r="AC671" s="252"/>
    </row>
    <row r="672">
      <c r="X672" s="364"/>
      <c r="Y672" s="252"/>
      <c r="Z672" s="252"/>
      <c r="AA672" s="252"/>
      <c r="AB672" s="252"/>
      <c r="AC672" s="252"/>
    </row>
    <row r="673">
      <c r="X673" s="364"/>
      <c r="Y673" s="252"/>
      <c r="Z673" s="252"/>
      <c r="AA673" s="252"/>
      <c r="AB673" s="252"/>
      <c r="AC673" s="252"/>
    </row>
    <row r="674">
      <c r="X674" s="364"/>
      <c r="Y674" s="252"/>
      <c r="Z674" s="252"/>
      <c r="AA674" s="252"/>
      <c r="AB674" s="252"/>
      <c r="AC674" s="252"/>
    </row>
    <row r="675">
      <c r="X675" s="364"/>
      <c r="Y675" s="252"/>
      <c r="Z675" s="252"/>
      <c r="AA675" s="252"/>
      <c r="AB675" s="252"/>
      <c r="AC675" s="252"/>
    </row>
    <row r="676">
      <c r="X676" s="364"/>
      <c r="Y676" s="252"/>
      <c r="Z676" s="252"/>
      <c r="AA676" s="252"/>
      <c r="AB676" s="252"/>
      <c r="AC676" s="252"/>
    </row>
    <row r="677">
      <c r="X677" s="364"/>
      <c r="Y677" s="252"/>
      <c r="Z677" s="252"/>
      <c r="AA677" s="252"/>
      <c r="AB677" s="252"/>
      <c r="AC677" s="252"/>
    </row>
    <row r="678">
      <c r="X678" s="364"/>
      <c r="Y678" s="252"/>
      <c r="Z678" s="252"/>
      <c r="AA678" s="252"/>
      <c r="AB678" s="252"/>
      <c r="AC678" s="252"/>
    </row>
    <row r="679">
      <c r="X679" s="364"/>
      <c r="Y679" s="252"/>
      <c r="Z679" s="252"/>
      <c r="AA679" s="252"/>
      <c r="AB679" s="252"/>
      <c r="AC679" s="252"/>
    </row>
    <row r="680">
      <c r="X680" s="364"/>
      <c r="Y680" s="252"/>
      <c r="Z680" s="252"/>
      <c r="AA680" s="252"/>
      <c r="AB680" s="252"/>
      <c r="AC680" s="252"/>
    </row>
    <row r="681">
      <c r="X681" s="364"/>
      <c r="Y681" s="252"/>
      <c r="Z681" s="252"/>
      <c r="AA681" s="252"/>
      <c r="AB681" s="252"/>
      <c r="AC681" s="252"/>
    </row>
    <row r="682">
      <c r="X682" s="364"/>
      <c r="Y682" s="252"/>
      <c r="Z682" s="252"/>
      <c r="AA682" s="252"/>
      <c r="AB682" s="252"/>
      <c r="AC682" s="252"/>
    </row>
    <row r="683">
      <c r="X683" s="364"/>
      <c r="Y683" s="252"/>
      <c r="Z683" s="252"/>
      <c r="AA683" s="252"/>
      <c r="AB683" s="252"/>
      <c r="AC683" s="252"/>
    </row>
    <row r="684">
      <c r="X684" s="364"/>
      <c r="Y684" s="252"/>
      <c r="Z684" s="252"/>
      <c r="AA684" s="252"/>
      <c r="AB684" s="252"/>
      <c r="AC684" s="252"/>
    </row>
    <row r="685">
      <c r="X685" s="364"/>
      <c r="Y685" s="252"/>
      <c r="Z685" s="252"/>
      <c r="AA685" s="252"/>
      <c r="AB685" s="252"/>
      <c r="AC685" s="252"/>
    </row>
    <row r="686">
      <c r="X686" s="364"/>
      <c r="Y686" s="252"/>
      <c r="Z686" s="252"/>
      <c r="AA686" s="252"/>
      <c r="AB686" s="252"/>
      <c r="AC686" s="252"/>
    </row>
    <row r="687">
      <c r="X687" s="364"/>
      <c r="Y687" s="252"/>
      <c r="Z687" s="252"/>
      <c r="AA687" s="252"/>
      <c r="AB687" s="252"/>
      <c r="AC687" s="252"/>
    </row>
    <row r="688">
      <c r="X688" s="364"/>
      <c r="Y688" s="252"/>
      <c r="Z688" s="252"/>
      <c r="AA688" s="252"/>
      <c r="AB688" s="252"/>
      <c r="AC688" s="252"/>
    </row>
    <row r="689">
      <c r="X689" s="364"/>
      <c r="Y689" s="252"/>
      <c r="Z689" s="252"/>
      <c r="AA689" s="252"/>
      <c r="AB689" s="252"/>
      <c r="AC689" s="252"/>
    </row>
    <row r="690">
      <c r="X690" s="364"/>
      <c r="Y690" s="252"/>
      <c r="Z690" s="252"/>
      <c r="AA690" s="252"/>
      <c r="AB690" s="252"/>
      <c r="AC690" s="252"/>
    </row>
    <row r="691">
      <c r="X691" s="364"/>
      <c r="Y691" s="252"/>
      <c r="Z691" s="252"/>
      <c r="AA691" s="252"/>
      <c r="AB691" s="252"/>
      <c r="AC691" s="252"/>
    </row>
    <row r="692">
      <c r="X692" s="364"/>
      <c r="Y692" s="252"/>
      <c r="Z692" s="252"/>
      <c r="AA692" s="252"/>
      <c r="AB692" s="252"/>
      <c r="AC692" s="252"/>
    </row>
    <row r="693">
      <c r="X693" s="364"/>
      <c r="Y693" s="252"/>
      <c r="Z693" s="252"/>
      <c r="AA693" s="252"/>
      <c r="AB693" s="252"/>
      <c r="AC693" s="252"/>
    </row>
    <row r="694">
      <c r="X694" s="364"/>
      <c r="Y694" s="252"/>
      <c r="Z694" s="252"/>
      <c r="AA694" s="252"/>
      <c r="AB694" s="252"/>
      <c r="AC694" s="252"/>
    </row>
    <row r="695">
      <c r="X695" s="364"/>
      <c r="Y695" s="252"/>
      <c r="Z695" s="252"/>
      <c r="AA695" s="252"/>
      <c r="AB695" s="252"/>
      <c r="AC695" s="252"/>
    </row>
    <row r="696">
      <c r="X696" s="364"/>
      <c r="Y696" s="252"/>
      <c r="Z696" s="252"/>
      <c r="AA696" s="252"/>
      <c r="AB696" s="252"/>
      <c r="AC696" s="252"/>
    </row>
    <row r="697">
      <c r="X697" s="364"/>
      <c r="Y697" s="252"/>
      <c r="Z697" s="252"/>
      <c r="AA697" s="252"/>
      <c r="AB697" s="252"/>
      <c r="AC697" s="252"/>
    </row>
    <row r="698">
      <c r="X698" s="364"/>
      <c r="Y698" s="252"/>
      <c r="Z698" s="252"/>
      <c r="AA698" s="252"/>
      <c r="AB698" s="252"/>
      <c r="AC698" s="252"/>
    </row>
    <row r="699">
      <c r="X699" s="364"/>
      <c r="Y699" s="252"/>
      <c r="Z699" s="252"/>
      <c r="AA699" s="252"/>
      <c r="AB699" s="252"/>
      <c r="AC699" s="252"/>
    </row>
    <row r="700">
      <c r="X700" s="364"/>
      <c r="Y700" s="252"/>
      <c r="Z700" s="252"/>
      <c r="AA700" s="252"/>
      <c r="AB700" s="252"/>
      <c r="AC700" s="252"/>
    </row>
    <row r="701">
      <c r="X701" s="364"/>
      <c r="Y701" s="252"/>
      <c r="Z701" s="252"/>
      <c r="AA701" s="252"/>
      <c r="AB701" s="252"/>
      <c r="AC701" s="252"/>
    </row>
    <row r="702">
      <c r="X702" s="364"/>
      <c r="Y702" s="252"/>
      <c r="Z702" s="252"/>
      <c r="AA702" s="252"/>
      <c r="AB702" s="252"/>
      <c r="AC702" s="252"/>
    </row>
    <row r="703">
      <c r="X703" s="364"/>
      <c r="Y703" s="252"/>
      <c r="Z703" s="252"/>
      <c r="AA703" s="252"/>
      <c r="AB703" s="252"/>
      <c r="AC703" s="252"/>
    </row>
    <row r="704">
      <c r="X704" s="364"/>
      <c r="Y704" s="252"/>
      <c r="Z704" s="252"/>
      <c r="AA704" s="252"/>
      <c r="AB704" s="252"/>
      <c r="AC704" s="252"/>
    </row>
    <row r="705">
      <c r="X705" s="364"/>
      <c r="Y705" s="252"/>
      <c r="Z705" s="252"/>
      <c r="AA705" s="252"/>
      <c r="AB705" s="252"/>
      <c r="AC705" s="252"/>
    </row>
    <row r="706">
      <c r="X706" s="364"/>
      <c r="Y706" s="252"/>
      <c r="Z706" s="252"/>
      <c r="AA706" s="252"/>
      <c r="AB706" s="252"/>
      <c r="AC706" s="252"/>
    </row>
    <row r="707">
      <c r="X707" s="364"/>
      <c r="Y707" s="252"/>
      <c r="Z707" s="252"/>
      <c r="AA707" s="252"/>
      <c r="AB707" s="252"/>
      <c r="AC707" s="252"/>
    </row>
    <row r="708">
      <c r="X708" s="364"/>
      <c r="Y708" s="252"/>
      <c r="Z708" s="252"/>
      <c r="AA708" s="252"/>
      <c r="AB708" s="252"/>
      <c r="AC708" s="252"/>
    </row>
    <row r="709">
      <c r="X709" s="364"/>
      <c r="Y709" s="252"/>
      <c r="Z709" s="252"/>
      <c r="AA709" s="252"/>
      <c r="AB709" s="252"/>
      <c r="AC709" s="252"/>
    </row>
    <row r="710">
      <c r="X710" s="364"/>
      <c r="Y710" s="252"/>
      <c r="Z710" s="252"/>
      <c r="AA710" s="252"/>
      <c r="AB710" s="252"/>
      <c r="AC710" s="252"/>
    </row>
    <row r="711">
      <c r="X711" s="364"/>
      <c r="Y711" s="252"/>
      <c r="Z711" s="252"/>
      <c r="AA711" s="252"/>
      <c r="AB711" s="252"/>
      <c r="AC711" s="252"/>
    </row>
    <row r="712">
      <c r="X712" s="364"/>
      <c r="Y712" s="252"/>
      <c r="Z712" s="252"/>
      <c r="AA712" s="252"/>
      <c r="AB712" s="252"/>
      <c r="AC712" s="252"/>
    </row>
    <row r="713">
      <c r="X713" s="364"/>
      <c r="Y713" s="252"/>
      <c r="Z713" s="252"/>
      <c r="AA713" s="252"/>
      <c r="AB713" s="252"/>
      <c r="AC713" s="252"/>
    </row>
    <row r="714">
      <c r="X714" s="364"/>
      <c r="Y714" s="252"/>
      <c r="Z714" s="252"/>
      <c r="AA714" s="252"/>
      <c r="AB714" s="252"/>
      <c r="AC714" s="252"/>
    </row>
    <row r="715">
      <c r="X715" s="364"/>
      <c r="Y715" s="252"/>
      <c r="Z715" s="252"/>
      <c r="AA715" s="252"/>
      <c r="AB715" s="252"/>
      <c r="AC715" s="252"/>
    </row>
    <row r="716">
      <c r="X716" s="364"/>
      <c r="Y716" s="252"/>
      <c r="Z716" s="252"/>
      <c r="AA716" s="252"/>
      <c r="AB716" s="252"/>
      <c r="AC716" s="252"/>
    </row>
    <row r="717">
      <c r="X717" s="364"/>
      <c r="Y717" s="252"/>
      <c r="Z717" s="252"/>
      <c r="AA717" s="252"/>
      <c r="AB717" s="252"/>
      <c r="AC717" s="252"/>
    </row>
    <row r="718">
      <c r="X718" s="364"/>
      <c r="Y718" s="252"/>
      <c r="Z718" s="252"/>
      <c r="AA718" s="252"/>
      <c r="AB718" s="252"/>
      <c r="AC718" s="252"/>
    </row>
    <row r="719">
      <c r="X719" s="364"/>
      <c r="Y719" s="252"/>
      <c r="Z719" s="252"/>
      <c r="AA719" s="252"/>
      <c r="AB719" s="252"/>
      <c r="AC719" s="252"/>
    </row>
    <row r="720">
      <c r="X720" s="364"/>
      <c r="Y720" s="252"/>
      <c r="Z720" s="252"/>
      <c r="AA720" s="252"/>
      <c r="AB720" s="252"/>
      <c r="AC720" s="252"/>
    </row>
    <row r="721">
      <c r="X721" s="364"/>
      <c r="Y721" s="252"/>
      <c r="Z721" s="252"/>
      <c r="AA721" s="252"/>
      <c r="AB721" s="252"/>
      <c r="AC721" s="252"/>
    </row>
    <row r="722">
      <c r="X722" s="364"/>
      <c r="Y722" s="252"/>
      <c r="Z722" s="252"/>
      <c r="AA722" s="252"/>
      <c r="AB722" s="252"/>
      <c r="AC722" s="252"/>
    </row>
    <row r="723">
      <c r="X723" s="364"/>
      <c r="Y723" s="252"/>
      <c r="Z723" s="252"/>
      <c r="AA723" s="252"/>
      <c r="AB723" s="252"/>
      <c r="AC723" s="252"/>
    </row>
    <row r="724">
      <c r="X724" s="364"/>
      <c r="Y724" s="252"/>
      <c r="Z724" s="252"/>
      <c r="AA724" s="252"/>
      <c r="AB724" s="252"/>
      <c r="AC724" s="252"/>
    </row>
    <row r="725">
      <c r="X725" s="364"/>
      <c r="Y725" s="252"/>
      <c r="Z725" s="252"/>
      <c r="AA725" s="252"/>
      <c r="AB725" s="252"/>
      <c r="AC725" s="252"/>
    </row>
    <row r="726">
      <c r="X726" s="364"/>
      <c r="Y726" s="252"/>
      <c r="Z726" s="252"/>
      <c r="AA726" s="252"/>
      <c r="AB726" s="252"/>
      <c r="AC726" s="252"/>
    </row>
    <row r="727">
      <c r="X727" s="364"/>
      <c r="Y727" s="252"/>
      <c r="Z727" s="252"/>
      <c r="AA727" s="252"/>
      <c r="AB727" s="252"/>
      <c r="AC727" s="252"/>
    </row>
    <row r="728">
      <c r="X728" s="364"/>
      <c r="Y728" s="252"/>
      <c r="Z728" s="252"/>
      <c r="AA728" s="252"/>
      <c r="AB728" s="252"/>
      <c r="AC728" s="252"/>
    </row>
    <row r="729">
      <c r="X729" s="364"/>
      <c r="Y729" s="252"/>
      <c r="Z729" s="252"/>
      <c r="AA729" s="252"/>
      <c r="AB729" s="252"/>
      <c r="AC729" s="252"/>
    </row>
    <row r="730">
      <c r="X730" s="364"/>
      <c r="Y730" s="252"/>
      <c r="Z730" s="252"/>
      <c r="AA730" s="252"/>
      <c r="AB730" s="252"/>
      <c r="AC730" s="252"/>
    </row>
    <row r="731">
      <c r="X731" s="364"/>
      <c r="Y731" s="252"/>
      <c r="Z731" s="252"/>
      <c r="AA731" s="252"/>
      <c r="AB731" s="252"/>
      <c r="AC731" s="252"/>
    </row>
    <row r="732">
      <c r="X732" s="364"/>
      <c r="Y732" s="252"/>
      <c r="Z732" s="252"/>
      <c r="AA732" s="252"/>
      <c r="AB732" s="252"/>
      <c r="AC732" s="252"/>
    </row>
    <row r="733">
      <c r="X733" s="364"/>
      <c r="Y733" s="252"/>
      <c r="Z733" s="252"/>
      <c r="AA733" s="252"/>
      <c r="AB733" s="252"/>
      <c r="AC733" s="252"/>
    </row>
    <row r="734">
      <c r="X734" s="364"/>
      <c r="Y734" s="252"/>
      <c r="Z734" s="252"/>
      <c r="AA734" s="252"/>
      <c r="AB734" s="252"/>
      <c r="AC734" s="252"/>
    </row>
    <row r="735">
      <c r="X735" s="364"/>
      <c r="Y735" s="252"/>
      <c r="Z735" s="252"/>
      <c r="AA735" s="252"/>
      <c r="AB735" s="252"/>
      <c r="AC735" s="252"/>
    </row>
    <row r="736">
      <c r="X736" s="364"/>
      <c r="Y736" s="252"/>
      <c r="Z736" s="252"/>
      <c r="AA736" s="252"/>
      <c r="AB736" s="252"/>
      <c r="AC736" s="252"/>
    </row>
    <row r="737">
      <c r="X737" s="364"/>
      <c r="Y737" s="252"/>
      <c r="Z737" s="252"/>
      <c r="AA737" s="252"/>
      <c r="AB737" s="252"/>
      <c r="AC737" s="252"/>
    </row>
    <row r="738">
      <c r="X738" s="364"/>
      <c r="Y738" s="252"/>
      <c r="Z738" s="252"/>
      <c r="AA738" s="252"/>
      <c r="AB738" s="252"/>
      <c r="AC738" s="252"/>
    </row>
    <row r="739">
      <c r="X739" s="364"/>
      <c r="Y739" s="252"/>
      <c r="Z739" s="252"/>
      <c r="AA739" s="252"/>
      <c r="AB739" s="252"/>
      <c r="AC739" s="252"/>
    </row>
    <row r="740">
      <c r="X740" s="364"/>
      <c r="Y740" s="252"/>
      <c r="Z740" s="252"/>
      <c r="AA740" s="252"/>
      <c r="AB740" s="252"/>
      <c r="AC740" s="252"/>
    </row>
    <row r="741">
      <c r="X741" s="364"/>
      <c r="Y741" s="252"/>
      <c r="Z741" s="252"/>
      <c r="AA741" s="252"/>
      <c r="AB741" s="252"/>
      <c r="AC741" s="252"/>
    </row>
    <row r="742">
      <c r="X742" s="364"/>
      <c r="Y742" s="252"/>
      <c r="Z742" s="252"/>
      <c r="AA742" s="252"/>
      <c r="AB742" s="252"/>
      <c r="AC742" s="252"/>
    </row>
    <row r="743">
      <c r="X743" s="364"/>
      <c r="Y743" s="252"/>
      <c r="Z743" s="252"/>
      <c r="AA743" s="252"/>
      <c r="AB743" s="252"/>
      <c r="AC743" s="252"/>
    </row>
    <row r="744">
      <c r="X744" s="364"/>
      <c r="Y744" s="252"/>
      <c r="Z744" s="252"/>
      <c r="AA744" s="252"/>
      <c r="AB744" s="252"/>
      <c r="AC744" s="252"/>
    </row>
    <row r="745">
      <c r="X745" s="364"/>
      <c r="Y745" s="252"/>
      <c r="Z745" s="252"/>
      <c r="AA745" s="252"/>
      <c r="AB745" s="252"/>
      <c r="AC745" s="252"/>
    </row>
    <row r="746">
      <c r="X746" s="364"/>
      <c r="Y746" s="252"/>
      <c r="Z746" s="252"/>
      <c r="AA746" s="252"/>
      <c r="AB746" s="252"/>
      <c r="AC746" s="252"/>
    </row>
    <row r="747">
      <c r="X747" s="364"/>
      <c r="Y747" s="252"/>
      <c r="Z747" s="252"/>
      <c r="AA747" s="252"/>
      <c r="AB747" s="252"/>
      <c r="AC747" s="252"/>
    </row>
    <row r="748">
      <c r="X748" s="364"/>
      <c r="Y748" s="252"/>
      <c r="Z748" s="252"/>
      <c r="AA748" s="252"/>
      <c r="AB748" s="252"/>
      <c r="AC748" s="252"/>
    </row>
    <row r="749">
      <c r="X749" s="364"/>
      <c r="Y749" s="252"/>
      <c r="Z749" s="252"/>
      <c r="AA749" s="252"/>
      <c r="AB749" s="252"/>
      <c r="AC749" s="252"/>
    </row>
    <row r="750">
      <c r="X750" s="364"/>
      <c r="Y750" s="252"/>
      <c r="Z750" s="252"/>
      <c r="AA750" s="252"/>
      <c r="AB750" s="252"/>
      <c r="AC750" s="252"/>
    </row>
    <row r="751">
      <c r="X751" s="364"/>
      <c r="Y751" s="252"/>
      <c r="Z751" s="252"/>
      <c r="AA751" s="252"/>
      <c r="AB751" s="252"/>
      <c r="AC751" s="252"/>
    </row>
    <row r="752">
      <c r="X752" s="364"/>
      <c r="Y752" s="252"/>
      <c r="Z752" s="252"/>
      <c r="AA752" s="252"/>
      <c r="AB752" s="252"/>
      <c r="AC752" s="252"/>
    </row>
    <row r="753">
      <c r="X753" s="364"/>
      <c r="Y753" s="252"/>
      <c r="Z753" s="252"/>
      <c r="AA753" s="252"/>
      <c r="AB753" s="252"/>
      <c r="AC753" s="252"/>
    </row>
    <row r="754">
      <c r="X754" s="364"/>
      <c r="Y754" s="252"/>
      <c r="Z754" s="252"/>
      <c r="AA754" s="252"/>
      <c r="AB754" s="252"/>
      <c r="AC754" s="252"/>
    </row>
    <row r="755">
      <c r="X755" s="364"/>
      <c r="Y755" s="252"/>
      <c r="Z755" s="252"/>
      <c r="AA755" s="252"/>
      <c r="AB755" s="252"/>
      <c r="AC755" s="252"/>
    </row>
    <row r="756">
      <c r="X756" s="364"/>
      <c r="Y756" s="252"/>
      <c r="Z756" s="252"/>
      <c r="AA756" s="252"/>
      <c r="AB756" s="252"/>
      <c r="AC756" s="252"/>
    </row>
    <row r="757">
      <c r="X757" s="364"/>
      <c r="Y757" s="252"/>
      <c r="Z757" s="252"/>
      <c r="AA757" s="252"/>
      <c r="AB757" s="252"/>
      <c r="AC757" s="252"/>
    </row>
    <row r="758">
      <c r="X758" s="364"/>
      <c r="Y758" s="252"/>
      <c r="Z758" s="252"/>
      <c r="AA758" s="252"/>
      <c r="AB758" s="252"/>
      <c r="AC758" s="252"/>
    </row>
    <row r="759">
      <c r="X759" s="364"/>
      <c r="Y759" s="252"/>
      <c r="Z759" s="252"/>
      <c r="AA759" s="252"/>
      <c r="AB759" s="252"/>
      <c r="AC759" s="252"/>
    </row>
    <row r="760">
      <c r="X760" s="364"/>
      <c r="Y760" s="252"/>
      <c r="Z760" s="252"/>
      <c r="AA760" s="252"/>
      <c r="AB760" s="252"/>
      <c r="AC760" s="252"/>
    </row>
    <row r="761">
      <c r="X761" s="364"/>
      <c r="Y761" s="252"/>
      <c r="Z761" s="252"/>
      <c r="AA761" s="252"/>
      <c r="AB761" s="252"/>
      <c r="AC761" s="252"/>
    </row>
    <row r="762">
      <c r="X762" s="364"/>
      <c r="Y762" s="252"/>
      <c r="Z762" s="252"/>
      <c r="AA762" s="252"/>
      <c r="AB762" s="252"/>
      <c r="AC762" s="252"/>
    </row>
    <row r="763">
      <c r="X763" s="364"/>
      <c r="Y763" s="252"/>
      <c r="Z763" s="252"/>
      <c r="AA763" s="252"/>
      <c r="AB763" s="252"/>
      <c r="AC763" s="252"/>
    </row>
    <row r="764">
      <c r="X764" s="364"/>
      <c r="Y764" s="252"/>
      <c r="Z764" s="252"/>
      <c r="AA764" s="252"/>
      <c r="AB764" s="252"/>
      <c r="AC764" s="252"/>
    </row>
    <row r="765">
      <c r="X765" s="364"/>
      <c r="Y765" s="252"/>
      <c r="Z765" s="252"/>
      <c r="AA765" s="252"/>
      <c r="AB765" s="252"/>
      <c r="AC765" s="252"/>
    </row>
    <row r="766">
      <c r="X766" s="364"/>
      <c r="Y766" s="252"/>
      <c r="Z766" s="252"/>
      <c r="AA766" s="252"/>
      <c r="AB766" s="252"/>
      <c r="AC766" s="252"/>
    </row>
    <row r="767">
      <c r="X767" s="364"/>
      <c r="Y767" s="252"/>
      <c r="Z767" s="252"/>
      <c r="AA767" s="252"/>
      <c r="AB767" s="252"/>
      <c r="AC767" s="252"/>
    </row>
    <row r="768">
      <c r="X768" s="364"/>
      <c r="Y768" s="252"/>
      <c r="Z768" s="252"/>
      <c r="AA768" s="252"/>
      <c r="AB768" s="252"/>
      <c r="AC768" s="252"/>
    </row>
    <row r="769">
      <c r="X769" s="364"/>
      <c r="Y769" s="252"/>
      <c r="Z769" s="252"/>
      <c r="AA769" s="252"/>
      <c r="AB769" s="252"/>
      <c r="AC769" s="252"/>
    </row>
    <row r="770">
      <c r="X770" s="364"/>
      <c r="Y770" s="252"/>
      <c r="Z770" s="252"/>
      <c r="AA770" s="252"/>
      <c r="AB770" s="252"/>
      <c r="AC770" s="252"/>
    </row>
    <row r="771">
      <c r="X771" s="364"/>
      <c r="Y771" s="252"/>
      <c r="Z771" s="252"/>
      <c r="AA771" s="252"/>
      <c r="AB771" s="252"/>
      <c r="AC771" s="252"/>
    </row>
    <row r="772">
      <c r="X772" s="364"/>
      <c r="Y772" s="252"/>
      <c r="Z772" s="252"/>
      <c r="AA772" s="252"/>
      <c r="AB772" s="252"/>
      <c r="AC772" s="252"/>
    </row>
    <row r="773">
      <c r="X773" s="364"/>
      <c r="Y773" s="252"/>
      <c r="Z773" s="252"/>
      <c r="AA773" s="252"/>
      <c r="AB773" s="252"/>
      <c r="AC773" s="252"/>
    </row>
    <row r="774">
      <c r="X774" s="364"/>
      <c r="Y774" s="252"/>
      <c r="Z774" s="252"/>
      <c r="AA774" s="252"/>
      <c r="AB774" s="252"/>
      <c r="AC774" s="252"/>
    </row>
    <row r="775">
      <c r="X775" s="364"/>
      <c r="Y775" s="252"/>
      <c r="Z775" s="252"/>
      <c r="AA775" s="252"/>
      <c r="AB775" s="252"/>
      <c r="AC775" s="252"/>
    </row>
    <row r="776">
      <c r="X776" s="364"/>
      <c r="Y776" s="252"/>
      <c r="Z776" s="252"/>
      <c r="AA776" s="252"/>
      <c r="AB776" s="252"/>
      <c r="AC776" s="252"/>
    </row>
    <row r="777">
      <c r="X777" s="364"/>
      <c r="Y777" s="252"/>
      <c r="Z777" s="252"/>
      <c r="AA777" s="252"/>
      <c r="AB777" s="252"/>
      <c r="AC777" s="252"/>
    </row>
    <row r="778">
      <c r="X778" s="364"/>
      <c r="Y778" s="252"/>
      <c r="Z778" s="252"/>
      <c r="AA778" s="252"/>
      <c r="AB778" s="252"/>
      <c r="AC778" s="252"/>
    </row>
    <row r="779">
      <c r="X779" s="364"/>
      <c r="Y779" s="252"/>
      <c r="Z779" s="252"/>
      <c r="AA779" s="252"/>
      <c r="AB779" s="252"/>
      <c r="AC779" s="252"/>
    </row>
    <row r="780">
      <c r="X780" s="364"/>
      <c r="Y780" s="252"/>
      <c r="Z780" s="252"/>
      <c r="AA780" s="252"/>
      <c r="AB780" s="252"/>
      <c r="AC780" s="252"/>
    </row>
    <row r="781">
      <c r="X781" s="364"/>
      <c r="Y781" s="252"/>
      <c r="Z781" s="252"/>
      <c r="AA781" s="252"/>
      <c r="AB781" s="252"/>
      <c r="AC781" s="252"/>
    </row>
    <row r="782">
      <c r="X782" s="364"/>
      <c r="Y782" s="252"/>
      <c r="Z782" s="252"/>
      <c r="AA782" s="252"/>
      <c r="AB782" s="252"/>
      <c r="AC782" s="252"/>
    </row>
    <row r="783">
      <c r="X783" s="364"/>
      <c r="Y783" s="252"/>
      <c r="Z783" s="252"/>
      <c r="AA783" s="252"/>
      <c r="AB783" s="252"/>
      <c r="AC783" s="252"/>
    </row>
    <row r="784">
      <c r="X784" s="364"/>
      <c r="Y784" s="252"/>
      <c r="Z784" s="252"/>
      <c r="AA784" s="252"/>
      <c r="AB784" s="252"/>
      <c r="AC784" s="252"/>
    </row>
    <row r="785">
      <c r="X785" s="364"/>
      <c r="Y785" s="252"/>
      <c r="Z785" s="252"/>
      <c r="AA785" s="252"/>
      <c r="AB785" s="252"/>
      <c r="AC785" s="252"/>
    </row>
    <row r="786">
      <c r="X786" s="364"/>
      <c r="Y786" s="252"/>
      <c r="Z786" s="252"/>
      <c r="AA786" s="252"/>
      <c r="AB786" s="252"/>
      <c r="AC786" s="252"/>
    </row>
    <row r="787">
      <c r="X787" s="364"/>
      <c r="Y787" s="252"/>
      <c r="Z787" s="252"/>
      <c r="AA787" s="252"/>
      <c r="AB787" s="252"/>
      <c r="AC787" s="252"/>
    </row>
    <row r="788">
      <c r="X788" s="364"/>
      <c r="Y788" s="252"/>
      <c r="Z788" s="252"/>
      <c r="AA788" s="252"/>
      <c r="AB788" s="252"/>
      <c r="AC788" s="252"/>
    </row>
    <row r="789">
      <c r="X789" s="364"/>
      <c r="Y789" s="252"/>
      <c r="Z789" s="252"/>
      <c r="AA789" s="252"/>
      <c r="AB789" s="252"/>
      <c r="AC789" s="252"/>
    </row>
    <row r="790">
      <c r="X790" s="364"/>
      <c r="Y790" s="252"/>
      <c r="Z790" s="252"/>
      <c r="AA790" s="252"/>
      <c r="AB790" s="252"/>
      <c r="AC790" s="252"/>
    </row>
    <row r="791">
      <c r="X791" s="364"/>
      <c r="Y791" s="252"/>
      <c r="Z791" s="252"/>
      <c r="AA791" s="252"/>
      <c r="AB791" s="252"/>
      <c r="AC791" s="252"/>
    </row>
    <row r="792">
      <c r="X792" s="364"/>
      <c r="Y792" s="252"/>
      <c r="Z792" s="252"/>
      <c r="AA792" s="252"/>
      <c r="AB792" s="252"/>
      <c r="AC792" s="252"/>
    </row>
    <row r="793">
      <c r="X793" s="364"/>
      <c r="Y793" s="252"/>
      <c r="Z793" s="252"/>
      <c r="AA793" s="252"/>
      <c r="AB793" s="252"/>
      <c r="AC793" s="252"/>
    </row>
    <row r="794">
      <c r="X794" s="364"/>
      <c r="Y794" s="252"/>
      <c r="Z794" s="252"/>
      <c r="AA794" s="252"/>
      <c r="AB794" s="252"/>
      <c r="AC794" s="252"/>
    </row>
    <row r="795">
      <c r="X795" s="364"/>
      <c r="Y795" s="252"/>
      <c r="Z795" s="252"/>
      <c r="AA795" s="252"/>
      <c r="AB795" s="252"/>
      <c r="AC795" s="252"/>
    </row>
    <row r="796">
      <c r="X796" s="364"/>
      <c r="Y796" s="252"/>
      <c r="Z796" s="252"/>
      <c r="AA796" s="252"/>
      <c r="AB796" s="252"/>
      <c r="AC796" s="252"/>
    </row>
    <row r="797">
      <c r="X797" s="364"/>
      <c r="Y797" s="252"/>
      <c r="Z797" s="252"/>
      <c r="AA797" s="252"/>
      <c r="AB797" s="252"/>
      <c r="AC797" s="252"/>
    </row>
    <row r="798">
      <c r="X798" s="364"/>
      <c r="Y798" s="252"/>
      <c r="Z798" s="252"/>
      <c r="AA798" s="252"/>
      <c r="AB798" s="252"/>
      <c r="AC798" s="252"/>
    </row>
    <row r="799">
      <c r="X799" s="364"/>
      <c r="Y799" s="252"/>
      <c r="Z799" s="252"/>
      <c r="AA799" s="252"/>
      <c r="AB799" s="252"/>
      <c r="AC799" s="252"/>
    </row>
    <row r="800">
      <c r="X800" s="364"/>
      <c r="Y800" s="252"/>
      <c r="Z800" s="252"/>
      <c r="AA800" s="252"/>
      <c r="AB800" s="252"/>
      <c r="AC800" s="252"/>
    </row>
    <row r="801">
      <c r="X801" s="364"/>
      <c r="Y801" s="252"/>
      <c r="Z801" s="252"/>
      <c r="AA801" s="252"/>
      <c r="AB801" s="252"/>
      <c r="AC801" s="252"/>
    </row>
    <row r="802">
      <c r="X802" s="364"/>
      <c r="Y802" s="252"/>
      <c r="Z802" s="252"/>
      <c r="AA802" s="252"/>
      <c r="AB802" s="252"/>
      <c r="AC802" s="252"/>
    </row>
    <row r="803">
      <c r="X803" s="364"/>
      <c r="Y803" s="252"/>
      <c r="Z803" s="252"/>
      <c r="AA803" s="252"/>
      <c r="AB803" s="252"/>
      <c r="AC803" s="252"/>
    </row>
    <row r="804">
      <c r="X804" s="364"/>
      <c r="Y804" s="252"/>
      <c r="Z804" s="252"/>
      <c r="AA804" s="252"/>
      <c r="AB804" s="252"/>
      <c r="AC804" s="252"/>
    </row>
    <row r="805">
      <c r="X805" s="364"/>
      <c r="Y805" s="252"/>
      <c r="Z805" s="252"/>
      <c r="AA805" s="252"/>
      <c r="AB805" s="252"/>
      <c r="AC805" s="252"/>
    </row>
    <row r="806">
      <c r="X806" s="364"/>
      <c r="Y806" s="252"/>
      <c r="Z806" s="252"/>
      <c r="AA806" s="252"/>
      <c r="AB806" s="252"/>
      <c r="AC806" s="252"/>
    </row>
    <row r="807">
      <c r="X807" s="364"/>
      <c r="Y807" s="252"/>
      <c r="Z807" s="252"/>
      <c r="AA807" s="252"/>
      <c r="AB807" s="252"/>
      <c r="AC807" s="252"/>
    </row>
    <row r="808">
      <c r="X808" s="364"/>
      <c r="Y808" s="252"/>
      <c r="Z808" s="252"/>
      <c r="AA808" s="252"/>
      <c r="AB808" s="252"/>
      <c r="AC808" s="252"/>
    </row>
    <row r="809">
      <c r="X809" s="364"/>
      <c r="Y809" s="252"/>
      <c r="Z809" s="252"/>
      <c r="AA809" s="252"/>
      <c r="AB809" s="252"/>
      <c r="AC809" s="252"/>
    </row>
    <row r="810">
      <c r="X810" s="364"/>
      <c r="Y810" s="252"/>
      <c r="Z810" s="252"/>
      <c r="AA810" s="252"/>
      <c r="AB810" s="252"/>
      <c r="AC810" s="252"/>
    </row>
    <row r="811">
      <c r="X811" s="364"/>
      <c r="Y811" s="252"/>
      <c r="Z811" s="252"/>
      <c r="AA811" s="252"/>
      <c r="AB811" s="252"/>
      <c r="AC811" s="252"/>
    </row>
    <row r="812">
      <c r="X812" s="364"/>
      <c r="Y812" s="252"/>
      <c r="Z812" s="252"/>
      <c r="AA812" s="252"/>
      <c r="AB812" s="252"/>
      <c r="AC812" s="252"/>
    </row>
    <row r="813">
      <c r="X813" s="364"/>
      <c r="Y813" s="252"/>
      <c r="Z813" s="252"/>
      <c r="AA813" s="252"/>
      <c r="AB813" s="252"/>
      <c r="AC813" s="252"/>
    </row>
    <row r="814">
      <c r="X814" s="364"/>
      <c r="Y814" s="252"/>
      <c r="Z814" s="252"/>
      <c r="AA814" s="252"/>
      <c r="AB814" s="252"/>
      <c r="AC814" s="252"/>
    </row>
    <row r="815">
      <c r="X815" s="364"/>
      <c r="Y815" s="252"/>
      <c r="Z815" s="252"/>
      <c r="AA815" s="252"/>
      <c r="AB815" s="252"/>
      <c r="AC815" s="252"/>
    </row>
    <row r="816">
      <c r="X816" s="364"/>
      <c r="Y816" s="252"/>
      <c r="Z816" s="252"/>
      <c r="AA816" s="252"/>
      <c r="AB816" s="252"/>
      <c r="AC816" s="252"/>
    </row>
    <row r="817">
      <c r="X817" s="364"/>
      <c r="Y817" s="252"/>
      <c r="Z817" s="252"/>
      <c r="AA817" s="252"/>
      <c r="AB817" s="252"/>
      <c r="AC817" s="252"/>
    </row>
    <row r="818">
      <c r="X818" s="364"/>
      <c r="Y818" s="252"/>
      <c r="Z818" s="252"/>
      <c r="AA818" s="252"/>
      <c r="AB818" s="252"/>
      <c r="AC818" s="252"/>
    </row>
    <row r="819">
      <c r="X819" s="364"/>
      <c r="Y819" s="252"/>
      <c r="Z819" s="252"/>
      <c r="AA819" s="252"/>
      <c r="AB819" s="252"/>
      <c r="AC819" s="252"/>
    </row>
    <row r="820">
      <c r="X820" s="364"/>
      <c r="Y820" s="252"/>
      <c r="Z820" s="252"/>
      <c r="AA820" s="252"/>
      <c r="AB820" s="252"/>
      <c r="AC820" s="252"/>
    </row>
    <row r="821">
      <c r="X821" s="364"/>
      <c r="Y821" s="252"/>
      <c r="Z821" s="252"/>
      <c r="AA821" s="252"/>
      <c r="AB821" s="252"/>
      <c r="AC821" s="252"/>
    </row>
    <row r="822">
      <c r="X822" s="364"/>
      <c r="Y822" s="252"/>
      <c r="Z822" s="252"/>
      <c r="AA822" s="252"/>
      <c r="AB822" s="252"/>
      <c r="AC822" s="252"/>
    </row>
    <row r="823">
      <c r="X823" s="364"/>
      <c r="Y823" s="252"/>
      <c r="Z823" s="252"/>
      <c r="AA823" s="252"/>
      <c r="AB823" s="252"/>
      <c r="AC823" s="252"/>
    </row>
    <row r="824">
      <c r="X824" s="364"/>
      <c r="Y824" s="252"/>
      <c r="Z824" s="252"/>
      <c r="AA824" s="252"/>
      <c r="AB824" s="252"/>
      <c r="AC824" s="252"/>
    </row>
    <row r="825">
      <c r="X825" s="364"/>
      <c r="Y825" s="252"/>
      <c r="Z825" s="252"/>
      <c r="AA825" s="252"/>
      <c r="AB825" s="252"/>
      <c r="AC825" s="252"/>
    </row>
    <row r="826">
      <c r="X826" s="364"/>
      <c r="Y826" s="252"/>
      <c r="Z826" s="252"/>
      <c r="AA826" s="252"/>
      <c r="AB826" s="252"/>
      <c r="AC826" s="252"/>
    </row>
    <row r="827">
      <c r="X827" s="364"/>
      <c r="Y827" s="252"/>
      <c r="Z827" s="252"/>
      <c r="AA827" s="252"/>
      <c r="AB827" s="252"/>
      <c r="AC827" s="252"/>
    </row>
    <row r="828">
      <c r="X828" s="364"/>
      <c r="Y828" s="252"/>
      <c r="Z828" s="252"/>
      <c r="AA828" s="252"/>
      <c r="AB828" s="252"/>
      <c r="AC828" s="252"/>
    </row>
    <row r="829">
      <c r="X829" s="364"/>
      <c r="Y829" s="252"/>
      <c r="Z829" s="252"/>
      <c r="AA829" s="252"/>
      <c r="AB829" s="252"/>
      <c r="AC829" s="252"/>
    </row>
    <row r="830">
      <c r="X830" s="364"/>
      <c r="Y830" s="252"/>
      <c r="Z830" s="252"/>
      <c r="AA830" s="252"/>
      <c r="AB830" s="252"/>
      <c r="AC830" s="252"/>
    </row>
    <row r="831">
      <c r="X831" s="364"/>
      <c r="Y831" s="252"/>
      <c r="Z831" s="252"/>
      <c r="AA831" s="252"/>
      <c r="AB831" s="252"/>
      <c r="AC831" s="252"/>
    </row>
    <row r="832">
      <c r="X832" s="364"/>
      <c r="Y832" s="252"/>
      <c r="Z832" s="252"/>
      <c r="AA832" s="252"/>
      <c r="AB832" s="252"/>
      <c r="AC832" s="252"/>
    </row>
    <row r="833">
      <c r="X833" s="364"/>
      <c r="Y833" s="252"/>
      <c r="Z833" s="252"/>
      <c r="AA833" s="252"/>
      <c r="AB833" s="252"/>
      <c r="AC833" s="252"/>
    </row>
    <row r="834">
      <c r="X834" s="364"/>
      <c r="Y834" s="252"/>
      <c r="Z834" s="252"/>
      <c r="AA834" s="252"/>
      <c r="AB834" s="252"/>
      <c r="AC834" s="252"/>
    </row>
    <row r="835">
      <c r="X835" s="364"/>
      <c r="Y835" s="252"/>
      <c r="Z835" s="252"/>
      <c r="AA835" s="252"/>
      <c r="AB835" s="252"/>
      <c r="AC835" s="252"/>
    </row>
    <row r="836">
      <c r="X836" s="364"/>
      <c r="Y836" s="252"/>
      <c r="Z836" s="252"/>
      <c r="AA836" s="252"/>
      <c r="AB836" s="252"/>
      <c r="AC836" s="252"/>
    </row>
    <row r="837">
      <c r="X837" s="364"/>
      <c r="Y837" s="252"/>
      <c r="Z837" s="252"/>
      <c r="AA837" s="252"/>
      <c r="AB837" s="252"/>
      <c r="AC837" s="252"/>
    </row>
    <row r="838">
      <c r="X838" s="364"/>
      <c r="Y838" s="252"/>
      <c r="Z838" s="252"/>
      <c r="AA838" s="252"/>
      <c r="AB838" s="252"/>
      <c r="AC838" s="252"/>
    </row>
    <row r="839">
      <c r="X839" s="364"/>
      <c r="Y839" s="252"/>
      <c r="Z839" s="252"/>
      <c r="AA839" s="252"/>
      <c r="AB839" s="252"/>
      <c r="AC839" s="252"/>
    </row>
    <row r="840">
      <c r="X840" s="364"/>
      <c r="Y840" s="252"/>
      <c r="Z840" s="252"/>
      <c r="AA840" s="252"/>
      <c r="AB840" s="252"/>
      <c r="AC840" s="252"/>
    </row>
    <row r="841">
      <c r="X841" s="364"/>
      <c r="Y841" s="252"/>
      <c r="Z841" s="252"/>
      <c r="AA841" s="252"/>
      <c r="AB841" s="252"/>
      <c r="AC841" s="252"/>
    </row>
    <row r="842">
      <c r="X842" s="364"/>
      <c r="Y842" s="252"/>
      <c r="Z842" s="252"/>
      <c r="AA842" s="252"/>
      <c r="AB842" s="252"/>
      <c r="AC842" s="252"/>
    </row>
    <row r="843">
      <c r="X843" s="364"/>
      <c r="Y843" s="252"/>
      <c r="Z843" s="252"/>
      <c r="AA843" s="252"/>
      <c r="AB843" s="252"/>
      <c r="AC843" s="252"/>
    </row>
    <row r="844">
      <c r="X844" s="364"/>
      <c r="Y844" s="252"/>
      <c r="Z844" s="252"/>
      <c r="AA844" s="252"/>
      <c r="AB844" s="252"/>
      <c r="AC844" s="252"/>
    </row>
    <row r="845">
      <c r="X845" s="364"/>
      <c r="Y845" s="252"/>
      <c r="Z845" s="252"/>
      <c r="AA845" s="252"/>
      <c r="AB845" s="252"/>
      <c r="AC845" s="252"/>
    </row>
    <row r="846">
      <c r="X846" s="364"/>
      <c r="Y846" s="252"/>
      <c r="Z846" s="252"/>
      <c r="AA846" s="252"/>
      <c r="AB846" s="252"/>
      <c r="AC846" s="252"/>
    </row>
    <row r="847">
      <c r="X847" s="364"/>
      <c r="Y847" s="252"/>
      <c r="Z847" s="252"/>
      <c r="AA847" s="252"/>
      <c r="AB847" s="252"/>
      <c r="AC847" s="252"/>
    </row>
    <row r="848">
      <c r="X848" s="364"/>
      <c r="Y848" s="252"/>
      <c r="Z848" s="252"/>
      <c r="AA848" s="252"/>
      <c r="AB848" s="252"/>
      <c r="AC848" s="252"/>
    </row>
    <row r="849">
      <c r="X849" s="364"/>
      <c r="Y849" s="252"/>
      <c r="Z849" s="252"/>
      <c r="AA849" s="252"/>
      <c r="AB849" s="252"/>
      <c r="AC849" s="252"/>
    </row>
    <row r="850">
      <c r="X850" s="364"/>
      <c r="Y850" s="252"/>
      <c r="Z850" s="252"/>
      <c r="AA850" s="252"/>
      <c r="AB850" s="252"/>
      <c r="AC850" s="252"/>
    </row>
    <row r="851">
      <c r="X851" s="364"/>
      <c r="Y851" s="252"/>
      <c r="Z851" s="252"/>
      <c r="AA851" s="252"/>
      <c r="AB851" s="252"/>
      <c r="AC851" s="252"/>
    </row>
    <row r="852">
      <c r="X852" s="364"/>
      <c r="Y852" s="252"/>
      <c r="Z852" s="252"/>
      <c r="AA852" s="252"/>
      <c r="AB852" s="252"/>
      <c r="AC852" s="252"/>
    </row>
    <row r="853">
      <c r="X853" s="364"/>
      <c r="Y853" s="252"/>
      <c r="Z853" s="252"/>
      <c r="AA853" s="252"/>
      <c r="AB853" s="252"/>
      <c r="AC853" s="252"/>
    </row>
    <row r="854">
      <c r="X854" s="364"/>
      <c r="Y854" s="252"/>
      <c r="Z854" s="252"/>
      <c r="AA854" s="252"/>
      <c r="AB854" s="252"/>
      <c r="AC854" s="252"/>
    </row>
    <row r="855">
      <c r="X855" s="364"/>
      <c r="Y855" s="252"/>
      <c r="Z855" s="252"/>
      <c r="AA855" s="252"/>
      <c r="AB855" s="252"/>
      <c r="AC855" s="252"/>
    </row>
    <row r="856">
      <c r="X856" s="364"/>
      <c r="Y856" s="252"/>
      <c r="Z856" s="252"/>
      <c r="AA856" s="252"/>
      <c r="AB856" s="252"/>
      <c r="AC856" s="252"/>
    </row>
    <row r="857">
      <c r="X857" s="364"/>
      <c r="Y857" s="252"/>
      <c r="Z857" s="252"/>
      <c r="AA857" s="252"/>
      <c r="AB857" s="252"/>
      <c r="AC857" s="252"/>
    </row>
    <row r="858">
      <c r="X858" s="364"/>
      <c r="Y858" s="252"/>
      <c r="Z858" s="252"/>
      <c r="AA858" s="252"/>
      <c r="AB858" s="252"/>
      <c r="AC858" s="252"/>
    </row>
    <row r="859">
      <c r="X859" s="364"/>
      <c r="Y859" s="252"/>
      <c r="Z859" s="252"/>
      <c r="AA859" s="252"/>
      <c r="AB859" s="252"/>
      <c r="AC859" s="252"/>
    </row>
    <row r="860">
      <c r="X860" s="364"/>
      <c r="Y860" s="252"/>
      <c r="Z860" s="252"/>
      <c r="AA860" s="252"/>
      <c r="AB860" s="252"/>
      <c r="AC860" s="252"/>
    </row>
    <row r="861">
      <c r="X861" s="364"/>
      <c r="Y861" s="252"/>
      <c r="Z861" s="252"/>
      <c r="AA861" s="252"/>
      <c r="AB861" s="252"/>
      <c r="AC861" s="252"/>
    </row>
    <row r="862">
      <c r="X862" s="364"/>
      <c r="Y862" s="252"/>
      <c r="Z862" s="252"/>
      <c r="AA862" s="252"/>
      <c r="AB862" s="252"/>
      <c r="AC862" s="252"/>
    </row>
    <row r="863">
      <c r="X863" s="364"/>
      <c r="Y863" s="252"/>
      <c r="Z863" s="252"/>
      <c r="AA863" s="252"/>
      <c r="AB863" s="252"/>
      <c r="AC863" s="252"/>
    </row>
    <row r="864">
      <c r="X864" s="364"/>
      <c r="Y864" s="252"/>
      <c r="Z864" s="252"/>
      <c r="AA864" s="252"/>
      <c r="AB864" s="252"/>
      <c r="AC864" s="252"/>
    </row>
    <row r="865">
      <c r="X865" s="364"/>
      <c r="Y865" s="252"/>
      <c r="Z865" s="252"/>
      <c r="AA865" s="252"/>
      <c r="AB865" s="252"/>
      <c r="AC865" s="252"/>
    </row>
    <row r="866">
      <c r="X866" s="364"/>
      <c r="Y866" s="252"/>
      <c r="Z866" s="252"/>
      <c r="AA866" s="252"/>
      <c r="AB866" s="252"/>
      <c r="AC866" s="252"/>
    </row>
    <row r="867">
      <c r="X867" s="364"/>
      <c r="Y867" s="252"/>
      <c r="Z867" s="252"/>
      <c r="AA867" s="252"/>
      <c r="AB867" s="252"/>
      <c r="AC867" s="252"/>
    </row>
    <row r="868">
      <c r="X868" s="364"/>
      <c r="Y868" s="252"/>
      <c r="Z868" s="252"/>
      <c r="AA868" s="252"/>
      <c r="AB868" s="252"/>
      <c r="AC868" s="252"/>
    </row>
    <row r="869">
      <c r="X869" s="364"/>
      <c r="Y869" s="252"/>
      <c r="Z869" s="252"/>
      <c r="AA869" s="252"/>
      <c r="AB869" s="252"/>
      <c r="AC869" s="252"/>
    </row>
    <row r="870">
      <c r="X870" s="364"/>
      <c r="Y870" s="252"/>
      <c r="Z870" s="252"/>
      <c r="AA870" s="252"/>
      <c r="AB870" s="252"/>
      <c r="AC870" s="252"/>
    </row>
    <row r="871">
      <c r="X871" s="364"/>
      <c r="Y871" s="252"/>
      <c r="Z871" s="252"/>
      <c r="AA871" s="252"/>
      <c r="AB871" s="252"/>
      <c r="AC871" s="252"/>
    </row>
    <row r="872">
      <c r="X872" s="364"/>
      <c r="Y872" s="252"/>
      <c r="Z872" s="252"/>
      <c r="AA872" s="252"/>
      <c r="AB872" s="252"/>
      <c r="AC872" s="252"/>
    </row>
    <row r="873">
      <c r="X873" s="364"/>
      <c r="Y873" s="252"/>
      <c r="Z873" s="252"/>
      <c r="AA873" s="252"/>
      <c r="AB873" s="252"/>
      <c r="AC873" s="252"/>
    </row>
    <row r="874">
      <c r="X874" s="364"/>
      <c r="Y874" s="252"/>
      <c r="Z874" s="252"/>
      <c r="AA874" s="252"/>
      <c r="AB874" s="252"/>
      <c r="AC874" s="252"/>
    </row>
    <row r="875">
      <c r="X875" s="364"/>
      <c r="Y875" s="252"/>
      <c r="Z875" s="252"/>
      <c r="AA875" s="252"/>
      <c r="AB875" s="252"/>
      <c r="AC875" s="252"/>
    </row>
    <row r="876">
      <c r="X876" s="364"/>
      <c r="Y876" s="252"/>
      <c r="Z876" s="252"/>
      <c r="AA876" s="252"/>
      <c r="AB876" s="252"/>
      <c r="AC876" s="252"/>
    </row>
    <row r="877">
      <c r="X877" s="364"/>
      <c r="Y877" s="252"/>
      <c r="Z877" s="252"/>
      <c r="AA877" s="252"/>
      <c r="AB877" s="252"/>
      <c r="AC877" s="252"/>
    </row>
    <row r="878">
      <c r="X878" s="364"/>
      <c r="Y878" s="252"/>
      <c r="Z878" s="252"/>
      <c r="AA878" s="252"/>
      <c r="AB878" s="252"/>
      <c r="AC878" s="252"/>
    </row>
    <row r="879">
      <c r="X879" s="364"/>
      <c r="Y879" s="252"/>
      <c r="Z879" s="252"/>
      <c r="AA879" s="252"/>
      <c r="AB879" s="252"/>
      <c r="AC879" s="252"/>
    </row>
    <row r="880">
      <c r="X880" s="364"/>
      <c r="Y880" s="252"/>
      <c r="Z880" s="252"/>
      <c r="AA880" s="252"/>
      <c r="AB880" s="252"/>
      <c r="AC880" s="252"/>
    </row>
    <row r="881">
      <c r="X881" s="364"/>
      <c r="Y881" s="252"/>
      <c r="Z881" s="252"/>
      <c r="AA881" s="252"/>
      <c r="AB881" s="252"/>
      <c r="AC881" s="252"/>
    </row>
    <row r="882">
      <c r="X882" s="364"/>
      <c r="Y882" s="252"/>
      <c r="Z882" s="252"/>
      <c r="AA882" s="252"/>
      <c r="AB882" s="252"/>
      <c r="AC882" s="252"/>
    </row>
    <row r="883">
      <c r="X883" s="364"/>
      <c r="Y883" s="252"/>
      <c r="Z883" s="252"/>
      <c r="AA883" s="252"/>
      <c r="AB883" s="252"/>
      <c r="AC883" s="252"/>
    </row>
    <row r="884">
      <c r="X884" s="364"/>
      <c r="Y884" s="252"/>
      <c r="Z884" s="252"/>
      <c r="AA884" s="252"/>
      <c r="AB884" s="252"/>
      <c r="AC884" s="252"/>
    </row>
    <row r="885">
      <c r="X885" s="364"/>
      <c r="Y885" s="252"/>
      <c r="Z885" s="252"/>
      <c r="AA885" s="252"/>
      <c r="AB885" s="252"/>
      <c r="AC885" s="252"/>
    </row>
    <row r="886">
      <c r="X886" s="364"/>
      <c r="Y886" s="252"/>
      <c r="Z886" s="252"/>
      <c r="AA886" s="252"/>
      <c r="AB886" s="252"/>
      <c r="AC886" s="252"/>
    </row>
    <row r="887">
      <c r="X887" s="364"/>
      <c r="Y887" s="252"/>
      <c r="Z887" s="252"/>
      <c r="AA887" s="252"/>
      <c r="AB887" s="252"/>
      <c r="AC887" s="252"/>
    </row>
    <row r="888">
      <c r="X888" s="364"/>
      <c r="Y888" s="252"/>
      <c r="Z888" s="252"/>
      <c r="AA888" s="252"/>
      <c r="AB888" s="252"/>
      <c r="AC888" s="252"/>
    </row>
    <row r="889">
      <c r="X889" s="364"/>
      <c r="Y889" s="252"/>
      <c r="Z889" s="252"/>
      <c r="AA889" s="252"/>
      <c r="AB889" s="252"/>
      <c r="AC889" s="252"/>
    </row>
    <row r="890">
      <c r="X890" s="364"/>
      <c r="Y890" s="252"/>
      <c r="Z890" s="252"/>
      <c r="AA890" s="252"/>
      <c r="AB890" s="252"/>
      <c r="AC890" s="252"/>
    </row>
    <row r="891">
      <c r="X891" s="364"/>
      <c r="Y891" s="252"/>
      <c r="Z891" s="252"/>
      <c r="AA891" s="252"/>
      <c r="AB891" s="252"/>
      <c r="AC891" s="252"/>
    </row>
    <row r="892">
      <c r="X892" s="364"/>
      <c r="Y892" s="252"/>
      <c r="Z892" s="252"/>
      <c r="AA892" s="252"/>
      <c r="AB892" s="252"/>
      <c r="AC892" s="252"/>
    </row>
    <row r="893">
      <c r="X893" s="364"/>
      <c r="Y893" s="252"/>
      <c r="Z893" s="252"/>
      <c r="AA893" s="252"/>
      <c r="AB893" s="252"/>
      <c r="AC893" s="252"/>
    </row>
    <row r="894">
      <c r="X894" s="364"/>
      <c r="Y894" s="252"/>
      <c r="Z894" s="252"/>
      <c r="AA894" s="252"/>
      <c r="AB894" s="252"/>
      <c r="AC894" s="252"/>
    </row>
    <row r="895">
      <c r="X895" s="364"/>
      <c r="Y895" s="252"/>
      <c r="Z895" s="252"/>
      <c r="AA895" s="252"/>
      <c r="AB895" s="252"/>
      <c r="AC895" s="252"/>
    </row>
    <row r="896">
      <c r="X896" s="364"/>
      <c r="Y896" s="252"/>
      <c r="Z896" s="252"/>
      <c r="AA896" s="252"/>
      <c r="AB896" s="252"/>
      <c r="AC896" s="252"/>
    </row>
    <row r="897">
      <c r="X897" s="364"/>
      <c r="Y897" s="252"/>
      <c r="Z897" s="252"/>
      <c r="AA897" s="252"/>
      <c r="AB897" s="252"/>
      <c r="AC897" s="252"/>
    </row>
    <row r="898">
      <c r="X898" s="364"/>
      <c r="Y898" s="252"/>
      <c r="Z898" s="252"/>
      <c r="AA898" s="252"/>
      <c r="AB898" s="252"/>
      <c r="AC898" s="252"/>
    </row>
    <row r="899">
      <c r="X899" s="364"/>
      <c r="Y899" s="252"/>
      <c r="Z899" s="252"/>
      <c r="AA899" s="252"/>
      <c r="AB899" s="252"/>
      <c r="AC899" s="252"/>
    </row>
    <row r="900">
      <c r="X900" s="364"/>
      <c r="Y900" s="252"/>
      <c r="Z900" s="252"/>
      <c r="AA900" s="252"/>
      <c r="AB900" s="252"/>
      <c r="AC900" s="252"/>
    </row>
    <row r="901">
      <c r="X901" s="364"/>
      <c r="Y901" s="252"/>
      <c r="Z901" s="252"/>
      <c r="AA901" s="252"/>
      <c r="AB901" s="252"/>
      <c r="AC901" s="252"/>
    </row>
    <row r="902">
      <c r="X902" s="364"/>
      <c r="Y902" s="252"/>
      <c r="Z902" s="252"/>
      <c r="AA902" s="252"/>
      <c r="AB902" s="252"/>
      <c r="AC902" s="252"/>
    </row>
    <row r="903">
      <c r="X903" s="364"/>
      <c r="Y903" s="252"/>
      <c r="Z903" s="252"/>
      <c r="AA903" s="252"/>
      <c r="AB903" s="252"/>
      <c r="AC903" s="252"/>
    </row>
    <row r="904">
      <c r="X904" s="364"/>
      <c r="Y904" s="252"/>
      <c r="Z904" s="252"/>
      <c r="AA904" s="252"/>
      <c r="AB904" s="252"/>
      <c r="AC904" s="252"/>
    </row>
    <row r="905">
      <c r="X905" s="364"/>
      <c r="Y905" s="252"/>
      <c r="Z905" s="252"/>
      <c r="AA905" s="252"/>
      <c r="AB905" s="252"/>
      <c r="AC905" s="252"/>
    </row>
    <row r="906">
      <c r="X906" s="364"/>
      <c r="Y906" s="252"/>
      <c r="Z906" s="252"/>
      <c r="AA906" s="252"/>
      <c r="AB906" s="252"/>
      <c r="AC906" s="252"/>
    </row>
    <row r="907">
      <c r="X907" s="364"/>
      <c r="Y907" s="252"/>
      <c r="Z907" s="252"/>
      <c r="AA907" s="252"/>
      <c r="AB907" s="252"/>
      <c r="AC907" s="252"/>
    </row>
    <row r="908">
      <c r="X908" s="364"/>
      <c r="Y908" s="252"/>
      <c r="Z908" s="252"/>
      <c r="AA908" s="252"/>
      <c r="AB908" s="252"/>
      <c r="AC908" s="252"/>
    </row>
    <row r="909">
      <c r="X909" s="364"/>
      <c r="Y909" s="252"/>
      <c r="Z909" s="252"/>
      <c r="AA909" s="252"/>
      <c r="AB909" s="252"/>
      <c r="AC909" s="252"/>
    </row>
    <row r="910">
      <c r="X910" s="364"/>
      <c r="Y910" s="252"/>
      <c r="Z910" s="252"/>
      <c r="AA910" s="252"/>
      <c r="AB910" s="252"/>
      <c r="AC910" s="252"/>
    </row>
    <row r="911">
      <c r="X911" s="364"/>
      <c r="Y911" s="252"/>
      <c r="Z911" s="252"/>
      <c r="AA911" s="252"/>
      <c r="AB911" s="252"/>
      <c r="AC911" s="252"/>
    </row>
    <row r="912">
      <c r="X912" s="364"/>
      <c r="Y912" s="252"/>
      <c r="Z912" s="252"/>
      <c r="AA912" s="252"/>
      <c r="AB912" s="252"/>
      <c r="AC912" s="252"/>
    </row>
    <row r="913">
      <c r="X913" s="364"/>
      <c r="Y913" s="252"/>
      <c r="Z913" s="252"/>
      <c r="AA913" s="252"/>
      <c r="AB913" s="252"/>
      <c r="AC913" s="252"/>
    </row>
    <row r="914">
      <c r="X914" s="364"/>
      <c r="Y914" s="252"/>
      <c r="Z914" s="252"/>
      <c r="AA914" s="252"/>
      <c r="AB914" s="252"/>
      <c r="AC914" s="252"/>
    </row>
    <row r="915">
      <c r="X915" s="364"/>
      <c r="Y915" s="252"/>
      <c r="Z915" s="252"/>
      <c r="AA915" s="252"/>
      <c r="AB915" s="252"/>
      <c r="AC915" s="252"/>
    </row>
    <row r="916">
      <c r="X916" s="364"/>
      <c r="Y916" s="252"/>
      <c r="Z916" s="252"/>
      <c r="AA916" s="252"/>
      <c r="AB916" s="252"/>
      <c r="AC916" s="252"/>
    </row>
    <row r="917">
      <c r="X917" s="364"/>
      <c r="Y917" s="252"/>
      <c r="Z917" s="252"/>
      <c r="AA917" s="252"/>
      <c r="AB917" s="252"/>
      <c r="AC917" s="252"/>
    </row>
    <row r="918">
      <c r="X918" s="364"/>
      <c r="Y918" s="252"/>
      <c r="Z918" s="252"/>
      <c r="AA918" s="252"/>
      <c r="AB918" s="252"/>
      <c r="AC918" s="252"/>
    </row>
    <row r="919">
      <c r="X919" s="364"/>
      <c r="Y919" s="252"/>
      <c r="Z919" s="252"/>
      <c r="AA919" s="252"/>
      <c r="AB919" s="252"/>
      <c r="AC919" s="252"/>
    </row>
    <row r="920">
      <c r="X920" s="364"/>
      <c r="Y920" s="252"/>
      <c r="Z920" s="252"/>
      <c r="AA920" s="252"/>
      <c r="AB920" s="252"/>
      <c r="AC920" s="252"/>
    </row>
    <row r="921">
      <c r="X921" s="364"/>
      <c r="Y921" s="252"/>
      <c r="Z921" s="252"/>
      <c r="AA921" s="252"/>
      <c r="AB921" s="252"/>
      <c r="AC921" s="252"/>
    </row>
    <row r="922">
      <c r="X922" s="364"/>
      <c r="Y922" s="252"/>
      <c r="Z922" s="252"/>
      <c r="AA922" s="252"/>
      <c r="AB922" s="252"/>
      <c r="AC922" s="252"/>
    </row>
    <row r="923">
      <c r="X923" s="364"/>
      <c r="Y923" s="252"/>
      <c r="Z923" s="252"/>
      <c r="AA923" s="252"/>
      <c r="AB923" s="252"/>
      <c r="AC923" s="252"/>
    </row>
    <row r="924">
      <c r="X924" s="364"/>
      <c r="Y924" s="252"/>
      <c r="Z924" s="252"/>
      <c r="AA924" s="252"/>
      <c r="AB924" s="252"/>
      <c r="AC924" s="252"/>
    </row>
    <row r="925">
      <c r="X925" s="364"/>
      <c r="Y925" s="252"/>
      <c r="Z925" s="252"/>
      <c r="AA925" s="252"/>
      <c r="AB925" s="252"/>
      <c r="AC925" s="252"/>
    </row>
    <row r="926">
      <c r="X926" s="364"/>
      <c r="Y926" s="252"/>
      <c r="Z926" s="252"/>
      <c r="AA926" s="252"/>
      <c r="AB926" s="252"/>
      <c r="AC926" s="252"/>
    </row>
    <row r="927">
      <c r="X927" s="364"/>
      <c r="Y927" s="252"/>
      <c r="Z927" s="252"/>
      <c r="AA927" s="252"/>
      <c r="AB927" s="252"/>
      <c r="AC927" s="252"/>
    </row>
    <row r="928">
      <c r="X928" s="364"/>
      <c r="Y928" s="252"/>
      <c r="Z928" s="252"/>
      <c r="AA928" s="252"/>
      <c r="AB928" s="252"/>
      <c r="AC928" s="252"/>
    </row>
    <row r="929">
      <c r="X929" s="364"/>
      <c r="Y929" s="252"/>
      <c r="Z929" s="252"/>
      <c r="AA929" s="252"/>
      <c r="AB929" s="252"/>
      <c r="AC929" s="252"/>
    </row>
    <row r="930">
      <c r="X930" s="364"/>
      <c r="Y930" s="252"/>
      <c r="Z930" s="252"/>
      <c r="AA930" s="252"/>
      <c r="AB930" s="252"/>
      <c r="AC930" s="252"/>
    </row>
    <row r="931">
      <c r="X931" s="364"/>
      <c r="Y931" s="252"/>
      <c r="Z931" s="252"/>
      <c r="AA931" s="252"/>
      <c r="AB931" s="252"/>
      <c r="AC931" s="252"/>
    </row>
    <row r="932">
      <c r="X932" s="364"/>
      <c r="Y932" s="252"/>
      <c r="Z932" s="252"/>
      <c r="AA932" s="252"/>
      <c r="AB932" s="252"/>
      <c r="AC932" s="252"/>
    </row>
    <row r="933">
      <c r="X933" s="364"/>
      <c r="Y933" s="252"/>
      <c r="Z933" s="252"/>
      <c r="AA933" s="252"/>
      <c r="AB933" s="252"/>
      <c r="AC933" s="252"/>
    </row>
    <row r="934">
      <c r="X934" s="364"/>
      <c r="Y934" s="252"/>
      <c r="Z934" s="252"/>
      <c r="AA934" s="252"/>
      <c r="AB934" s="252"/>
      <c r="AC934" s="252"/>
    </row>
    <row r="935">
      <c r="X935" s="364"/>
      <c r="Y935" s="252"/>
      <c r="Z935" s="252"/>
      <c r="AA935" s="252"/>
      <c r="AB935" s="252"/>
      <c r="AC935" s="252"/>
    </row>
    <row r="936">
      <c r="X936" s="364"/>
      <c r="Y936" s="252"/>
      <c r="Z936" s="252"/>
      <c r="AA936" s="252"/>
      <c r="AB936" s="252"/>
      <c r="AC936" s="252"/>
    </row>
    <row r="937">
      <c r="X937" s="364"/>
      <c r="Y937" s="252"/>
      <c r="Z937" s="252"/>
      <c r="AA937" s="252"/>
      <c r="AB937" s="252"/>
      <c r="AC937" s="252"/>
    </row>
    <row r="938">
      <c r="X938" s="364"/>
      <c r="Y938" s="252"/>
      <c r="Z938" s="252"/>
      <c r="AA938" s="252"/>
      <c r="AB938" s="252"/>
      <c r="AC938" s="252"/>
    </row>
    <row r="939">
      <c r="X939" s="364"/>
      <c r="Y939" s="252"/>
      <c r="Z939" s="252"/>
      <c r="AA939" s="252"/>
      <c r="AB939" s="252"/>
      <c r="AC939" s="252"/>
    </row>
    <row r="940">
      <c r="X940" s="364"/>
      <c r="Y940" s="252"/>
      <c r="Z940" s="252"/>
      <c r="AA940" s="252"/>
      <c r="AB940" s="252"/>
      <c r="AC940" s="252"/>
    </row>
    <row r="941">
      <c r="X941" s="364"/>
      <c r="Y941" s="252"/>
      <c r="Z941" s="252"/>
      <c r="AA941" s="252"/>
      <c r="AB941" s="252"/>
      <c r="AC941" s="252"/>
    </row>
    <row r="942">
      <c r="X942" s="364"/>
      <c r="Y942" s="252"/>
      <c r="Z942" s="252"/>
      <c r="AA942" s="252"/>
      <c r="AB942" s="252"/>
      <c r="AC942" s="252"/>
    </row>
    <row r="943">
      <c r="X943" s="364"/>
      <c r="Y943" s="252"/>
      <c r="Z943" s="252"/>
      <c r="AA943" s="252"/>
      <c r="AB943" s="252"/>
      <c r="AC943" s="252"/>
    </row>
    <row r="944">
      <c r="X944" s="364"/>
      <c r="Y944" s="252"/>
      <c r="Z944" s="252"/>
      <c r="AA944" s="252"/>
      <c r="AB944" s="252"/>
      <c r="AC944" s="252"/>
    </row>
    <row r="945">
      <c r="X945" s="364"/>
      <c r="Y945" s="252"/>
      <c r="Z945" s="252"/>
      <c r="AA945" s="252"/>
      <c r="AB945" s="252"/>
      <c r="AC945" s="252"/>
    </row>
    <row r="946">
      <c r="X946" s="364"/>
      <c r="Y946" s="252"/>
      <c r="Z946" s="252"/>
      <c r="AA946" s="252"/>
      <c r="AB946" s="252"/>
      <c r="AC946" s="252"/>
    </row>
    <row r="947">
      <c r="X947" s="364"/>
      <c r="Y947" s="252"/>
      <c r="Z947" s="252"/>
      <c r="AA947" s="252"/>
      <c r="AB947" s="252"/>
      <c r="AC947" s="252"/>
    </row>
    <row r="948">
      <c r="X948" s="364"/>
      <c r="Y948" s="252"/>
      <c r="Z948" s="252"/>
      <c r="AA948" s="252"/>
      <c r="AB948" s="252"/>
      <c r="AC948" s="252"/>
    </row>
    <row r="949">
      <c r="X949" s="364"/>
      <c r="Y949" s="252"/>
      <c r="Z949" s="252"/>
      <c r="AA949" s="252"/>
      <c r="AB949" s="252"/>
      <c r="AC949" s="252"/>
    </row>
    <row r="950">
      <c r="X950" s="364"/>
      <c r="Y950" s="252"/>
      <c r="Z950" s="252"/>
      <c r="AA950" s="252"/>
      <c r="AB950" s="252"/>
      <c r="AC950" s="252"/>
    </row>
    <row r="951">
      <c r="X951" s="364"/>
      <c r="Y951" s="252"/>
      <c r="Z951" s="252"/>
      <c r="AA951" s="252"/>
      <c r="AB951" s="252"/>
      <c r="AC951" s="252"/>
    </row>
    <row r="952">
      <c r="X952" s="364"/>
      <c r="Y952" s="252"/>
      <c r="Z952" s="252"/>
      <c r="AA952" s="252"/>
      <c r="AB952" s="252"/>
      <c r="AC952" s="252"/>
    </row>
    <row r="953">
      <c r="X953" s="364"/>
      <c r="Y953" s="252"/>
      <c r="Z953" s="252"/>
      <c r="AA953" s="252"/>
      <c r="AB953" s="252"/>
      <c r="AC953" s="252"/>
    </row>
    <row r="954">
      <c r="X954" s="364"/>
      <c r="Y954" s="252"/>
      <c r="Z954" s="252"/>
      <c r="AA954" s="252"/>
      <c r="AB954" s="252"/>
      <c r="AC954" s="252"/>
    </row>
    <row r="955">
      <c r="X955" s="364"/>
      <c r="Y955" s="252"/>
      <c r="Z955" s="252"/>
      <c r="AA955" s="252"/>
      <c r="AB955" s="252"/>
      <c r="AC955" s="252"/>
    </row>
    <row r="956">
      <c r="X956" s="364"/>
      <c r="Y956" s="252"/>
      <c r="Z956" s="252"/>
      <c r="AA956" s="252"/>
      <c r="AB956" s="252"/>
      <c r="AC956" s="252"/>
    </row>
    <row r="957">
      <c r="X957" s="364"/>
      <c r="Y957" s="252"/>
      <c r="Z957" s="252"/>
      <c r="AA957" s="252"/>
      <c r="AB957" s="252"/>
      <c r="AC957" s="252"/>
    </row>
    <row r="958">
      <c r="X958" s="364"/>
      <c r="Y958" s="252"/>
      <c r="Z958" s="252"/>
      <c r="AA958" s="252"/>
      <c r="AB958" s="252"/>
      <c r="AC958" s="252"/>
    </row>
    <row r="959">
      <c r="X959" s="364"/>
      <c r="Y959" s="252"/>
      <c r="Z959" s="252"/>
      <c r="AA959" s="252"/>
      <c r="AB959" s="252"/>
      <c r="AC959" s="252"/>
    </row>
    <row r="960">
      <c r="X960" s="364"/>
      <c r="Y960" s="252"/>
      <c r="Z960" s="252"/>
      <c r="AA960" s="252"/>
      <c r="AB960" s="252"/>
      <c r="AC960" s="252"/>
    </row>
    <row r="961">
      <c r="X961" s="364"/>
      <c r="Y961" s="252"/>
      <c r="Z961" s="252"/>
      <c r="AA961" s="252"/>
      <c r="AB961" s="252"/>
      <c r="AC961" s="252"/>
    </row>
    <row r="962">
      <c r="X962" s="364"/>
      <c r="Y962" s="252"/>
      <c r="Z962" s="252"/>
      <c r="AA962" s="252"/>
      <c r="AB962" s="252"/>
      <c r="AC962" s="252"/>
    </row>
    <row r="963">
      <c r="X963" s="364"/>
      <c r="Y963" s="252"/>
      <c r="Z963" s="252"/>
      <c r="AA963" s="252"/>
      <c r="AB963" s="252"/>
      <c r="AC963" s="252"/>
    </row>
    <row r="964">
      <c r="X964" s="364"/>
      <c r="Y964" s="252"/>
      <c r="Z964" s="252"/>
      <c r="AA964" s="252"/>
      <c r="AB964" s="252"/>
      <c r="AC964" s="252"/>
    </row>
    <row r="965">
      <c r="X965" s="364"/>
      <c r="Y965" s="252"/>
      <c r="Z965" s="252"/>
      <c r="AA965" s="252"/>
      <c r="AB965" s="252"/>
      <c r="AC965" s="252"/>
    </row>
    <row r="966">
      <c r="X966" s="364"/>
      <c r="Y966" s="252"/>
      <c r="Z966" s="252"/>
      <c r="AA966" s="252"/>
      <c r="AB966" s="252"/>
      <c r="AC966" s="252"/>
    </row>
    <row r="967">
      <c r="X967" s="364"/>
      <c r="Y967" s="252"/>
      <c r="Z967" s="252"/>
      <c r="AA967" s="252"/>
      <c r="AB967" s="252"/>
      <c r="AC967" s="252"/>
    </row>
    <row r="968">
      <c r="X968" s="364"/>
      <c r="Y968" s="252"/>
      <c r="Z968" s="252"/>
      <c r="AA968" s="252"/>
      <c r="AB968" s="252"/>
      <c r="AC968" s="252"/>
    </row>
    <row r="969">
      <c r="X969" s="364"/>
      <c r="Y969" s="252"/>
      <c r="Z969" s="252"/>
      <c r="AA969" s="252"/>
      <c r="AB969" s="252"/>
      <c r="AC969" s="252"/>
    </row>
    <row r="970">
      <c r="X970" s="364"/>
      <c r="Y970" s="252"/>
      <c r="Z970" s="252"/>
      <c r="AA970" s="252"/>
      <c r="AB970" s="252"/>
      <c r="AC970" s="252"/>
    </row>
    <row r="971">
      <c r="X971" s="364"/>
      <c r="Y971" s="252"/>
      <c r="Z971" s="252"/>
      <c r="AA971" s="252"/>
      <c r="AB971" s="252"/>
      <c r="AC971" s="252"/>
    </row>
    <row r="972">
      <c r="X972" s="364"/>
      <c r="Y972" s="252"/>
      <c r="Z972" s="252"/>
      <c r="AA972" s="252"/>
      <c r="AB972" s="252"/>
      <c r="AC972" s="252"/>
    </row>
    <row r="973">
      <c r="X973" s="364"/>
      <c r="Y973" s="252"/>
      <c r="Z973" s="252"/>
      <c r="AA973" s="252"/>
      <c r="AB973" s="252"/>
      <c r="AC973" s="252"/>
    </row>
    <row r="974">
      <c r="X974" s="364"/>
      <c r="Y974" s="252"/>
      <c r="Z974" s="252"/>
      <c r="AA974" s="252"/>
      <c r="AB974" s="252"/>
      <c r="AC974" s="252"/>
    </row>
    <row r="975">
      <c r="X975" s="364"/>
      <c r="Y975" s="252"/>
      <c r="Z975" s="252"/>
      <c r="AA975" s="252"/>
      <c r="AB975" s="252"/>
      <c r="AC975" s="252"/>
    </row>
    <row r="976">
      <c r="X976" s="364"/>
      <c r="Y976" s="252"/>
      <c r="Z976" s="252"/>
      <c r="AA976" s="252"/>
      <c r="AB976" s="252"/>
      <c r="AC976" s="252"/>
    </row>
    <row r="977">
      <c r="X977" s="364"/>
      <c r="Y977" s="252"/>
      <c r="Z977" s="252"/>
      <c r="AA977" s="252"/>
      <c r="AB977" s="252"/>
      <c r="AC977" s="252"/>
    </row>
    <row r="978">
      <c r="X978" s="364"/>
      <c r="Y978" s="252"/>
      <c r="Z978" s="252"/>
      <c r="AA978" s="252"/>
      <c r="AB978" s="252"/>
      <c r="AC978" s="252"/>
    </row>
    <row r="979">
      <c r="X979" s="364"/>
      <c r="Y979" s="252"/>
      <c r="Z979" s="252"/>
      <c r="AA979" s="252"/>
      <c r="AB979" s="252"/>
      <c r="AC979" s="252"/>
    </row>
    <row r="980">
      <c r="X980" s="364"/>
      <c r="Y980" s="252"/>
      <c r="Z980" s="252"/>
      <c r="AA980" s="252"/>
      <c r="AB980" s="252"/>
      <c r="AC980" s="252"/>
    </row>
    <row r="981">
      <c r="X981" s="364"/>
      <c r="Y981" s="252"/>
      <c r="Z981" s="252"/>
      <c r="AA981" s="252"/>
      <c r="AB981" s="252"/>
      <c r="AC981" s="252"/>
    </row>
    <row r="982">
      <c r="X982" s="364"/>
      <c r="Y982" s="252"/>
      <c r="Z982" s="252"/>
      <c r="AA982" s="252"/>
      <c r="AB982" s="252"/>
      <c r="AC982" s="252"/>
    </row>
    <row r="983">
      <c r="X983" s="364"/>
      <c r="Y983" s="252"/>
      <c r="Z983" s="252"/>
      <c r="AA983" s="252"/>
      <c r="AB983" s="252"/>
      <c r="AC983" s="252"/>
    </row>
    <row r="984">
      <c r="X984" s="364"/>
      <c r="Y984" s="252"/>
      <c r="Z984" s="252"/>
      <c r="AA984" s="252"/>
      <c r="AB984" s="252"/>
      <c r="AC984" s="252"/>
    </row>
    <row r="985">
      <c r="X985" s="364"/>
      <c r="Y985" s="252"/>
      <c r="Z985" s="252"/>
      <c r="AA985" s="252"/>
      <c r="AB985" s="252"/>
      <c r="AC985" s="252"/>
    </row>
    <row r="986">
      <c r="X986" s="364"/>
      <c r="Y986" s="252"/>
      <c r="Z986" s="252"/>
      <c r="AA986" s="252"/>
      <c r="AB986" s="252"/>
      <c r="AC986" s="252"/>
    </row>
    <row r="987">
      <c r="X987" s="364"/>
      <c r="Y987" s="252"/>
      <c r="Z987" s="252"/>
      <c r="AA987" s="252"/>
      <c r="AB987" s="252"/>
      <c r="AC987" s="252"/>
    </row>
    <row r="988">
      <c r="X988" s="364"/>
      <c r="Y988" s="252"/>
      <c r="Z988" s="252"/>
      <c r="AA988" s="252"/>
      <c r="AB988" s="252"/>
      <c r="AC988" s="252"/>
    </row>
    <row r="989">
      <c r="X989" s="364"/>
      <c r="Y989" s="252"/>
      <c r="Z989" s="252"/>
      <c r="AA989" s="252"/>
      <c r="AB989" s="252"/>
      <c r="AC989" s="252"/>
    </row>
    <row r="990">
      <c r="X990" s="364"/>
      <c r="Y990" s="252"/>
      <c r="Z990" s="252"/>
      <c r="AA990" s="252"/>
      <c r="AB990" s="252"/>
      <c r="AC990" s="252"/>
    </row>
    <row r="991">
      <c r="X991" s="364"/>
      <c r="Y991" s="252"/>
      <c r="Z991" s="252"/>
      <c r="AA991" s="252"/>
      <c r="AB991" s="252"/>
      <c r="AC991" s="252"/>
    </row>
    <row r="992">
      <c r="X992" s="364"/>
      <c r="Y992" s="252"/>
      <c r="Z992" s="252"/>
      <c r="AA992" s="252"/>
      <c r="AB992" s="252"/>
      <c r="AC992" s="252"/>
    </row>
    <row r="993">
      <c r="X993" s="364"/>
      <c r="Y993" s="252"/>
      <c r="Z993" s="252"/>
      <c r="AA993" s="252"/>
      <c r="AB993" s="252"/>
      <c r="AC993" s="252"/>
    </row>
    <row r="994">
      <c r="X994" s="364"/>
      <c r="Y994" s="252"/>
      <c r="Z994" s="252"/>
      <c r="AA994" s="252"/>
      <c r="AB994" s="252"/>
      <c r="AC994" s="252"/>
    </row>
    <row r="995">
      <c r="X995" s="364"/>
      <c r="Y995" s="252"/>
      <c r="Z995" s="252"/>
      <c r="AA995" s="252"/>
      <c r="AB995" s="252"/>
      <c r="AC995" s="252"/>
    </row>
    <row r="996">
      <c r="X996" s="364"/>
      <c r="Y996" s="252"/>
      <c r="Z996" s="252"/>
      <c r="AA996" s="252"/>
      <c r="AB996" s="252"/>
      <c r="AC996" s="252"/>
    </row>
    <row r="997">
      <c r="X997" s="364"/>
      <c r="Y997" s="252"/>
      <c r="Z997" s="252"/>
      <c r="AA997" s="252"/>
      <c r="AB997" s="252"/>
      <c r="AC997" s="252"/>
    </row>
    <row r="998">
      <c r="X998" s="364"/>
      <c r="Y998" s="252"/>
      <c r="Z998" s="252"/>
      <c r="AA998" s="252"/>
      <c r="AB998" s="252"/>
      <c r="AC998" s="252"/>
    </row>
    <row r="999">
      <c r="X999" s="364"/>
      <c r="Y999" s="252"/>
      <c r="Z999" s="252"/>
      <c r="AA999" s="252"/>
      <c r="AB999" s="252"/>
      <c r="AC999" s="252"/>
    </row>
    <row r="1000">
      <c r="X1000" s="364"/>
      <c r="Y1000" s="252"/>
      <c r="Z1000" s="252"/>
      <c r="AA1000" s="252"/>
      <c r="AB1000" s="252"/>
      <c r="AC1000" s="252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5" t="str">
        <f>'Пр.взв'!C2</f>
        <v>Первенство России среди юношей и девушек 16-18 лет (отбор на первенство мира и Европы)</v>
      </c>
      <c r="B1" s="204"/>
      <c r="C1" s="204"/>
      <c r="D1" s="204"/>
      <c r="E1" s="204"/>
      <c r="F1" s="204"/>
      <c r="G1" s="204"/>
      <c r="H1" s="205"/>
      <c r="I1" s="49"/>
      <c r="J1" s="49"/>
    </row>
    <row r="2">
      <c r="A2" s="366" t="str">
        <f>'Пр.взв'!C3</f>
        <v>30.01 - 04.02.2022 г.                                                                                        г.Кстово</v>
      </c>
      <c r="B2" s="367"/>
      <c r="C2" s="367"/>
      <c r="D2" s="367"/>
      <c r="E2" s="367"/>
      <c r="F2" s="367"/>
      <c r="G2" s="367"/>
      <c r="H2" s="367"/>
      <c r="I2" s="49"/>
      <c r="J2" s="49"/>
    </row>
    <row r="3">
      <c r="A3" s="368" t="s">
        <v>230</v>
      </c>
      <c r="I3" s="49"/>
      <c r="J3" s="50"/>
    </row>
    <row r="4">
      <c r="A4" s="49"/>
      <c r="B4" s="369"/>
      <c r="C4" s="370"/>
      <c r="D4" s="371" t="str">
        <f>'Пр.взв'!G4</f>
        <v>В.к.  44  кг</v>
      </c>
      <c r="E4" s="204"/>
      <c r="F4" s="205"/>
      <c r="G4" s="370"/>
      <c r="H4" s="370"/>
      <c r="I4" s="49"/>
      <c r="J4" s="49"/>
    </row>
    <row r="5">
      <c r="A5" s="370"/>
      <c r="B5" s="370"/>
      <c r="C5" s="370"/>
      <c r="D5" s="370"/>
      <c r="E5" s="370"/>
      <c r="F5" s="370"/>
      <c r="G5" s="370"/>
      <c r="H5" s="370"/>
      <c r="I5" s="49"/>
      <c r="J5" s="49"/>
    </row>
    <row r="6">
      <c r="A6" s="372" t="s">
        <v>231</v>
      </c>
      <c r="B6" s="373" t="str">
        <f>IFERROR(VLOOKUP(J6,'Пр.взв'!$D$6:$J$63,3,0),"")</f>
        <v/>
      </c>
      <c r="C6" s="367"/>
      <c r="D6" s="367"/>
      <c r="E6" s="367"/>
      <c r="F6" s="367"/>
      <c r="G6" s="325"/>
      <c r="H6" s="374" t="str">
        <f>IFERROR(VLOOKUP(J6,'Пр.взв'!$D$6:$J$63,5,0),"")</f>
        <v/>
      </c>
      <c r="I6" s="370"/>
      <c r="J6" s="375" t="str">
        <f>'Ит.пр'!B6</f>
        <v>#N/A</v>
      </c>
    </row>
    <row r="7">
      <c r="A7" s="376"/>
      <c r="B7" s="183"/>
      <c r="C7" s="174"/>
      <c r="D7" s="174"/>
      <c r="E7" s="174"/>
      <c r="F7" s="174"/>
      <c r="G7" s="171"/>
      <c r="H7" s="113"/>
      <c r="I7" s="370"/>
      <c r="J7" s="62"/>
    </row>
    <row r="8">
      <c r="A8" s="376"/>
      <c r="B8" s="377" t="str">
        <f>IFERROR(VLOOKUP(J6,'Пр.взв'!$D$6:$J$63,6,0),"")</f>
        <v/>
      </c>
      <c r="C8" s="325"/>
      <c r="D8" s="378" t="str">
        <f>IFERROR(VLOOKUP(J6,'Пр.взв'!$D$6:$J$63,7,0),"")</f>
        <v/>
      </c>
      <c r="E8" s="367"/>
      <c r="F8" s="367"/>
      <c r="G8" s="367"/>
      <c r="H8" s="325"/>
      <c r="I8" s="370"/>
      <c r="J8" s="62"/>
    </row>
    <row r="9">
      <c r="A9" s="183"/>
      <c r="B9" s="183"/>
      <c r="C9" s="171"/>
      <c r="D9" s="183"/>
      <c r="E9" s="174"/>
      <c r="F9" s="174"/>
      <c r="G9" s="174"/>
      <c r="H9" s="171"/>
      <c r="I9" s="370"/>
      <c r="J9" s="62"/>
    </row>
    <row r="10">
      <c r="A10" s="370"/>
      <c r="B10" s="370"/>
      <c r="C10" s="370"/>
      <c r="D10" s="370"/>
      <c r="E10" s="370"/>
      <c r="F10" s="370"/>
      <c r="G10" s="370"/>
      <c r="H10" s="370"/>
      <c r="I10" s="370"/>
      <c r="J10" s="62"/>
    </row>
    <row r="11">
      <c r="A11" s="379" t="s">
        <v>232</v>
      </c>
      <c r="B11" s="373" t="str">
        <f>IFERROR(VLOOKUP(J11,'Пр.взв'!$D$6:$J$63,3,0),"")</f>
        <v/>
      </c>
      <c r="C11" s="367"/>
      <c r="D11" s="367"/>
      <c r="E11" s="367"/>
      <c r="F11" s="367"/>
      <c r="G11" s="325"/>
      <c r="H11" s="374" t="str">
        <f>IFERROR(VLOOKUP(J11,'Пр.взв'!$D$6:$J$63,5,0),"")</f>
        <v/>
      </c>
      <c r="I11" s="370"/>
      <c r="J11" s="375" t="str">
        <f>'Ит.пр'!B7</f>
        <v>#N/A</v>
      </c>
    </row>
    <row r="12">
      <c r="A12" s="376"/>
      <c r="B12" s="183"/>
      <c r="C12" s="174"/>
      <c r="D12" s="174"/>
      <c r="E12" s="174"/>
      <c r="F12" s="174"/>
      <c r="G12" s="171"/>
      <c r="H12" s="113"/>
      <c r="I12" s="370"/>
      <c r="J12" s="62"/>
    </row>
    <row r="13">
      <c r="A13" s="376"/>
      <c r="B13" s="377" t="str">
        <f>IFERROR(VLOOKUP(J11,'Пр.взв'!$D$6:$J$63,6,0),"")</f>
        <v/>
      </c>
      <c r="C13" s="325"/>
      <c r="D13" s="378" t="str">
        <f>IFERROR(VLOOKUP(J11,'Пр.взв'!$D$6:$J$63,7,0),"")</f>
        <v/>
      </c>
      <c r="E13" s="367"/>
      <c r="F13" s="367"/>
      <c r="G13" s="367"/>
      <c r="H13" s="325"/>
      <c r="I13" s="370"/>
      <c r="J13" s="62"/>
    </row>
    <row r="14">
      <c r="A14" s="183"/>
      <c r="B14" s="183"/>
      <c r="C14" s="171"/>
      <c r="D14" s="183"/>
      <c r="E14" s="174"/>
      <c r="F14" s="174"/>
      <c r="G14" s="174"/>
      <c r="H14" s="171"/>
      <c r="I14" s="370"/>
      <c r="J14" s="62"/>
    </row>
    <row r="15">
      <c r="A15" s="370"/>
      <c r="B15" s="370"/>
      <c r="C15" s="370"/>
      <c r="D15" s="370"/>
      <c r="E15" s="370"/>
      <c r="F15" s="370"/>
      <c r="G15" s="370"/>
      <c r="H15" s="370"/>
      <c r="I15" s="370"/>
      <c r="J15" s="62"/>
    </row>
    <row r="16">
      <c r="A16" s="380" t="s">
        <v>233</v>
      </c>
      <c r="B16" s="373" t="str">
        <f>IFERROR(VLOOKUP(J16,'Пр.взв'!$D$6:$J$63,3,0),"")</f>
        <v/>
      </c>
      <c r="C16" s="367"/>
      <c r="D16" s="367"/>
      <c r="E16" s="367"/>
      <c r="F16" s="367"/>
      <c r="G16" s="325"/>
      <c r="H16" s="374" t="str">
        <f>IFERROR(VLOOKUP(J16,'Пр.взв'!$D$6:$J$63,5,0),"")</f>
        <v/>
      </c>
      <c r="I16" s="370"/>
      <c r="J16" s="375" t="str">
        <f>'Ит.пр'!B8</f>
        <v>#N/A</v>
      </c>
    </row>
    <row r="17">
      <c r="A17" s="376"/>
      <c r="B17" s="183"/>
      <c r="C17" s="174"/>
      <c r="D17" s="174"/>
      <c r="E17" s="174"/>
      <c r="F17" s="174"/>
      <c r="G17" s="171"/>
      <c r="H17" s="113"/>
      <c r="I17" s="370"/>
      <c r="J17" s="62"/>
    </row>
    <row r="18">
      <c r="A18" s="376"/>
      <c r="B18" s="377" t="str">
        <f>IFERROR(VLOOKUP(J16,'Пр.взв'!$D$6:$J$63,6,0),"")</f>
        <v/>
      </c>
      <c r="C18" s="325"/>
      <c r="D18" s="378" t="str">
        <f>IFERROR(VLOOKUP(J16,'Пр.взв'!$D$6:$J$63,7,0),"")</f>
        <v/>
      </c>
      <c r="E18" s="367"/>
      <c r="F18" s="367"/>
      <c r="G18" s="367"/>
      <c r="H18" s="325"/>
      <c r="I18" s="370"/>
      <c r="J18" s="62"/>
    </row>
    <row r="19">
      <c r="A19" s="183"/>
      <c r="B19" s="183"/>
      <c r="C19" s="171"/>
      <c r="D19" s="183"/>
      <c r="E19" s="174"/>
      <c r="F19" s="174"/>
      <c r="G19" s="174"/>
      <c r="H19" s="171"/>
      <c r="I19" s="370"/>
      <c r="J19" s="62"/>
    </row>
    <row r="20">
      <c r="A20" s="381"/>
      <c r="B20" s="370"/>
      <c r="C20" s="370"/>
      <c r="D20" s="370"/>
      <c r="E20" s="370"/>
      <c r="F20" s="370"/>
      <c r="G20" s="370"/>
      <c r="H20" s="370"/>
      <c r="I20" s="370"/>
      <c r="J20" s="62"/>
    </row>
    <row r="21">
      <c r="A21" s="380" t="s">
        <v>233</v>
      </c>
      <c r="B21" s="373" t="str">
        <f>IFERROR(VLOOKUP(J21,'Пр.взв'!$D$6:$J$63,3,0),"")</f>
        <v/>
      </c>
      <c r="C21" s="367"/>
      <c r="D21" s="367"/>
      <c r="E21" s="367"/>
      <c r="F21" s="367"/>
      <c r="G21" s="325"/>
      <c r="H21" s="374" t="str">
        <f>IFERROR(VLOOKUP(J21,'Пр.взв'!$D$6:$J$63,5,0),"")</f>
        <v/>
      </c>
      <c r="I21" s="370"/>
      <c r="J21" s="375" t="str">
        <f>'Ит.пр'!B9</f>
        <v>#N/A</v>
      </c>
    </row>
    <row r="22">
      <c r="A22" s="376"/>
      <c r="B22" s="183"/>
      <c r="C22" s="174"/>
      <c r="D22" s="174"/>
      <c r="E22" s="174"/>
      <c r="F22" s="174"/>
      <c r="G22" s="171"/>
      <c r="H22" s="113"/>
      <c r="I22" s="370"/>
      <c r="J22" s="62"/>
    </row>
    <row r="23">
      <c r="A23" s="376"/>
      <c r="B23" s="377" t="str">
        <f>IFERROR(VLOOKUP(J21,'Пр.взв'!$D$6:$J$63,6,0),"")</f>
        <v/>
      </c>
      <c r="C23" s="325"/>
      <c r="D23" s="378" t="str">
        <f>IFERROR(VLOOKUP(J21,'Пр.взв'!$D$6:$J$63,7,0),"")</f>
        <v/>
      </c>
      <c r="E23" s="367"/>
      <c r="F23" s="367"/>
      <c r="G23" s="367"/>
      <c r="H23" s="325"/>
      <c r="I23" s="370"/>
      <c r="J23" s="49"/>
    </row>
    <row r="24">
      <c r="A24" s="183"/>
      <c r="B24" s="183"/>
      <c r="C24" s="171"/>
      <c r="D24" s="183"/>
      <c r="E24" s="174"/>
      <c r="F24" s="174"/>
      <c r="G24" s="174"/>
      <c r="H24" s="171"/>
      <c r="I24" s="370"/>
      <c r="J24" s="49"/>
    </row>
    <row r="25">
      <c r="A25" s="370"/>
      <c r="B25" s="370"/>
      <c r="C25" s="370"/>
      <c r="D25" s="370"/>
      <c r="E25" s="370"/>
      <c r="F25" s="370"/>
      <c r="G25" s="370"/>
      <c r="H25" s="370"/>
      <c r="I25" s="49"/>
      <c r="J25" s="49"/>
    </row>
    <row r="26">
      <c r="A26" s="382" t="s">
        <v>234</v>
      </c>
      <c r="D26" s="370"/>
      <c r="E26" s="370"/>
      <c r="F26" s="370"/>
      <c r="G26" s="370"/>
      <c r="H26" s="370"/>
      <c r="I26" s="49"/>
      <c r="J26" s="49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>
      <c r="A28" s="373" t="str">
        <f>IFERROR(VLOOKUP(J28,'Пр.взв'!$D$6:$M$63,10,0),"")</f>
        <v/>
      </c>
      <c r="B28" s="367"/>
      <c r="C28" s="367"/>
      <c r="D28" s="367"/>
      <c r="E28" s="367"/>
      <c r="F28" s="367"/>
      <c r="G28" s="367"/>
      <c r="H28" s="325"/>
      <c r="I28" s="49"/>
      <c r="J28" s="375" t="str">
        <f>J6</f>
        <v>#N/A</v>
      </c>
    </row>
    <row r="29">
      <c r="A29" s="183"/>
      <c r="B29" s="174"/>
      <c r="C29" s="174"/>
      <c r="D29" s="174"/>
      <c r="E29" s="174"/>
      <c r="F29" s="174"/>
      <c r="G29" s="174"/>
      <c r="H29" s="171"/>
      <c r="I29" s="49"/>
      <c r="J29" s="49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>
      <c r="A32" s="382" t="s">
        <v>235</v>
      </c>
      <c r="E32" s="370"/>
      <c r="F32" s="370"/>
      <c r="G32" s="370"/>
      <c r="H32" s="370"/>
      <c r="I32" s="49"/>
      <c r="J32" s="49"/>
    </row>
    <row r="33">
      <c r="A33" s="370"/>
      <c r="B33" s="370"/>
      <c r="C33" s="370"/>
      <c r="D33" s="370"/>
      <c r="E33" s="370"/>
      <c r="F33" s="370"/>
      <c r="G33" s="370"/>
      <c r="H33" s="370"/>
      <c r="I33" s="49"/>
      <c r="J33" s="49"/>
    </row>
    <row r="34">
      <c r="A34" s="370"/>
      <c r="B34" s="370"/>
      <c r="C34" s="370"/>
      <c r="D34" s="370"/>
      <c r="E34" s="370"/>
      <c r="F34" s="370"/>
      <c r="G34" s="370"/>
      <c r="H34" s="370"/>
      <c r="I34" s="49"/>
      <c r="J34" s="49"/>
    </row>
    <row r="35">
      <c r="A35" s="383"/>
      <c r="B35" s="383"/>
      <c r="C35" s="383"/>
      <c r="D35" s="383"/>
      <c r="E35" s="383"/>
      <c r="F35" s="383"/>
      <c r="G35" s="383"/>
      <c r="H35" s="383"/>
      <c r="I35" s="49"/>
      <c r="J35" s="384"/>
    </row>
    <row r="36">
      <c r="A36" s="370"/>
      <c r="B36" s="370"/>
      <c r="C36" s="370"/>
      <c r="D36" s="370"/>
      <c r="E36" s="370"/>
      <c r="F36" s="370"/>
      <c r="G36" s="370"/>
      <c r="H36" s="370"/>
      <c r="I36" s="49"/>
      <c r="J36" s="49"/>
    </row>
    <row r="37">
      <c r="A37" s="383"/>
      <c r="B37" s="383"/>
      <c r="C37" s="383"/>
      <c r="D37" s="383"/>
      <c r="E37" s="383"/>
      <c r="F37" s="383"/>
      <c r="G37" s="383"/>
      <c r="H37" s="383"/>
      <c r="I37" s="49"/>
      <c r="J37" s="49"/>
    </row>
    <row r="38">
      <c r="A38" s="385"/>
      <c r="B38" s="385"/>
      <c r="C38" s="385"/>
      <c r="D38" s="385"/>
      <c r="E38" s="385"/>
      <c r="F38" s="385"/>
      <c r="G38" s="385"/>
      <c r="H38" s="385"/>
      <c r="I38" s="49"/>
      <c r="J38" s="49"/>
    </row>
    <row r="39">
      <c r="A39" s="370"/>
      <c r="B39" s="370"/>
      <c r="C39" s="370"/>
      <c r="D39" s="370"/>
      <c r="E39" s="370"/>
      <c r="F39" s="370"/>
      <c r="G39" s="370"/>
      <c r="H39" s="370"/>
      <c r="I39" s="49"/>
      <c r="J39" s="386"/>
    </row>
    <row r="40">
      <c r="A40" s="385"/>
      <c r="B40" s="385"/>
      <c r="C40" s="385"/>
      <c r="D40" s="385"/>
      <c r="E40" s="385"/>
      <c r="F40" s="385"/>
      <c r="G40" s="385"/>
      <c r="H40" s="385"/>
      <c r="I40" s="49"/>
      <c r="J40" s="49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