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45621"/>
</workbook>
</file>

<file path=xl/calcChain.xml><?xml version="1.0" encoding="utf-8"?>
<calcChain xmlns="http://schemas.openxmlformats.org/spreadsheetml/2006/main">
  <c r="E2" i="7" l="1"/>
  <c r="O2" i="7" s="1"/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L2" i="7" l="1"/>
  <c r="L38" i="7" s="1"/>
  <c r="L58" i="7" s="1"/>
  <c r="L70" i="7" s="1"/>
  <c r="L78" i="7" s="1"/>
  <c r="B38" i="7"/>
  <c r="B58" i="7" s="1"/>
  <c r="B70" i="7" s="1"/>
  <c r="B78" i="7" s="1"/>
  <c r="L91" i="7" l="1"/>
  <c r="L104" i="7" s="1"/>
  <c r="B91" i="7"/>
  <c r="B104" i="7" s="1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B18" i="6"/>
  <c r="J16" i="6"/>
  <c r="H16" i="6" s="1"/>
  <c r="J6" i="6"/>
  <c r="E8" i="6" s="1"/>
  <c r="D4" i="6"/>
  <c r="T12" i="1"/>
  <c r="B6" i="1"/>
  <c r="F6" i="1" s="1"/>
  <c r="J4" i="1" s="1"/>
  <c r="H3" i="1"/>
  <c r="B34" i="5"/>
  <c r="F34" i="5" s="1"/>
  <c r="E32" i="5"/>
  <c r="B32" i="5"/>
  <c r="F32" i="5" s="1"/>
  <c r="E29" i="5"/>
  <c r="B19" i="5"/>
  <c r="F19" i="5" s="1"/>
  <c r="B7" i="5"/>
  <c r="F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G39" i="1"/>
  <c r="E39" i="1"/>
  <c r="A39" i="1"/>
  <c r="G38" i="1"/>
  <c r="E38" i="1"/>
  <c r="A38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B25" i="1" s="1"/>
  <c r="F25" i="1" s="1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J16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B23" i="1" s="1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B24" i="1" s="1"/>
  <c r="F24" i="1" s="1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N13" i="3" s="1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B22" i="1" s="1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J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E18" i="6" l="1"/>
  <c r="AB18" i="3"/>
  <c r="B32" i="1" s="1"/>
  <c r="G32" i="1" s="1"/>
  <c r="C32" i="5"/>
  <c r="H6" i="6"/>
  <c r="L87" i="7"/>
  <c r="AD10" i="3"/>
  <c r="B21" i="1" s="1"/>
  <c r="E21" i="1" s="1"/>
  <c r="AB28" i="3"/>
  <c r="B33" i="1" s="1"/>
  <c r="F33" i="1" s="1"/>
  <c r="AB23" i="3"/>
  <c r="B31" i="1" s="1"/>
  <c r="F31" i="1" s="1"/>
  <c r="AB21" i="3"/>
  <c r="B27" i="1" s="1"/>
  <c r="H27" i="1" s="1"/>
  <c r="C7" i="5"/>
  <c r="D7" i="5"/>
  <c r="E7" i="5"/>
  <c r="B83" i="7"/>
  <c r="AD7" i="3"/>
  <c r="B18" i="1" s="1"/>
  <c r="E18" i="1" s="1"/>
  <c r="AB16" i="3"/>
  <c r="B28" i="1" s="1"/>
  <c r="G28" i="1" s="1"/>
  <c r="AB17" i="3"/>
  <c r="B36" i="1" s="1"/>
  <c r="G36" i="1" s="1"/>
  <c r="AB12" i="3"/>
  <c r="B34" i="1" s="1"/>
  <c r="E34" i="1" s="1"/>
  <c r="AB11" i="3"/>
  <c r="B26" i="1" s="1"/>
  <c r="E26" i="1" s="1"/>
  <c r="AB13" i="3"/>
  <c r="B30" i="1" s="1"/>
  <c r="E30" i="1" s="1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AD20" i="3"/>
  <c r="B10" i="1" s="1"/>
  <c r="F10" i="1" s="1"/>
  <c r="J14" i="1" s="1"/>
  <c r="Q8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E83" i="7"/>
  <c r="D83" i="7"/>
  <c r="C83" i="7"/>
  <c r="F87" i="7"/>
  <c r="E87" i="7"/>
  <c r="D87" i="7"/>
  <c r="C87" i="7"/>
  <c r="AD9" i="3"/>
  <c r="B20" i="1" s="1"/>
  <c r="G20" i="1" s="1"/>
  <c r="L83" i="7"/>
  <c r="AD14" i="3"/>
  <c r="B16" i="1" s="1"/>
  <c r="F16" i="1" s="1"/>
  <c r="L98" i="7"/>
  <c r="L102" i="7"/>
  <c r="AD15" i="3"/>
  <c r="B17" i="1" s="1"/>
  <c r="F17" i="1" s="1"/>
  <c r="O87" i="7"/>
  <c r="N87" i="7"/>
  <c r="M87" i="7"/>
  <c r="P87" i="7"/>
  <c r="H33" i="1"/>
  <c r="P5" i="3"/>
  <c r="K26" i="3"/>
  <c r="D42" i="7"/>
  <c r="M46" i="7"/>
  <c r="D50" i="7"/>
  <c r="M54" i="7"/>
  <c r="D62" i="7"/>
  <c r="M66" i="7"/>
  <c r="D74" i="7"/>
  <c r="C100" i="7"/>
  <c r="B21" i="5"/>
  <c r="D32" i="5"/>
  <c r="B6" i="6"/>
  <c r="H21" i="6"/>
  <c r="B102" i="7"/>
  <c r="AB22" i="3"/>
  <c r="B35" i="1" s="1"/>
  <c r="F35" i="1" s="1"/>
  <c r="AB26" i="3"/>
  <c r="B29" i="1" s="1"/>
  <c r="H29" i="1" s="1"/>
  <c r="M48" i="7"/>
  <c r="M56" i="7"/>
  <c r="M68" i="7"/>
  <c r="B16" i="6"/>
  <c r="B23" i="6"/>
  <c r="AB27" i="3"/>
  <c r="B37" i="1" s="1"/>
  <c r="H37" i="1" s="1"/>
  <c r="N48" i="7"/>
  <c r="N56" i="7"/>
  <c r="N68" i="7"/>
  <c r="B8" i="6"/>
  <c r="E23" i="6"/>
  <c r="AD8" i="3"/>
  <c r="B19" i="1" s="1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J8" i="1" s="1"/>
  <c r="O11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E19" i="5"/>
  <c r="E34" i="5"/>
  <c r="B9" i="1"/>
  <c r="F9" i="1" s="1"/>
  <c r="J12" i="1" s="1"/>
  <c r="P8" i="1" s="1"/>
  <c r="G71" i="7"/>
  <c r="Q80" i="7"/>
  <c r="Q93" i="7" s="1"/>
  <c r="Q106" i="7" s="1"/>
  <c r="D22" i="1"/>
  <c r="E8" i="1"/>
  <c r="E14" i="1"/>
  <c r="C22" i="1"/>
  <c r="E15" i="1"/>
  <c r="D12" i="1"/>
  <c r="H22" i="1"/>
  <c r="H12" i="1"/>
  <c r="C9" i="1"/>
  <c r="C12" i="1"/>
  <c r="E12" i="1"/>
  <c r="G25" i="1"/>
  <c r="H13" i="1"/>
  <c r="C6" i="1"/>
  <c r="H6" i="1"/>
  <c r="H11" i="1"/>
  <c r="G14" i="1"/>
  <c r="D28" i="1"/>
  <c r="E29" i="1"/>
  <c r="D6" i="1"/>
  <c r="C8" i="1"/>
  <c r="H8" i="1"/>
  <c r="D11" i="1"/>
  <c r="G12" i="1"/>
  <c r="D13" i="1"/>
  <c r="C14" i="1"/>
  <c r="H14" i="1"/>
  <c r="E22" i="1"/>
  <c r="E23" i="1"/>
  <c r="C25" i="1"/>
  <c r="E28" i="1"/>
  <c r="D32" i="1"/>
  <c r="G6" i="1"/>
  <c r="G11" i="1"/>
  <c r="G8" i="1"/>
  <c r="C11" i="1"/>
  <c r="C13" i="1"/>
  <c r="H25" i="1"/>
  <c r="E6" i="1"/>
  <c r="D8" i="1"/>
  <c r="G9" i="1"/>
  <c r="E11" i="1"/>
  <c r="G13" i="1"/>
  <c r="D14" i="1"/>
  <c r="G22" i="1"/>
  <c r="D25" i="1"/>
  <c r="H28" i="1"/>
  <c r="E32" i="1"/>
  <c r="N17" i="1"/>
  <c r="N16" i="1"/>
  <c r="N15" i="1"/>
  <c r="N14" i="1"/>
  <c r="N12" i="1"/>
  <c r="N11" i="1"/>
  <c r="N10" i="1"/>
  <c r="N9" i="1"/>
  <c r="N8" i="1"/>
  <c r="N13" i="1"/>
  <c r="T6" i="1"/>
  <c r="N6" i="1"/>
  <c r="N7" i="1"/>
  <c r="E24" i="1"/>
  <c r="H24" i="1"/>
  <c r="D24" i="1"/>
  <c r="G24" i="1"/>
  <c r="C24" i="1"/>
  <c r="F27" i="1"/>
  <c r="E27" i="1"/>
  <c r="D27" i="1"/>
  <c r="P9" i="1"/>
  <c r="G27" i="1"/>
  <c r="E16" i="1"/>
  <c r="F15" i="1"/>
  <c r="F23" i="1"/>
  <c r="E13" i="1"/>
  <c r="C15" i="1"/>
  <c r="G15" i="1"/>
  <c r="C23" i="1"/>
  <c r="G23" i="1"/>
  <c r="E25" i="1"/>
  <c r="D15" i="1"/>
  <c r="H20" i="1"/>
  <c r="D23" i="1"/>
  <c r="C30" i="1"/>
  <c r="G30" i="1"/>
  <c r="F30" i="1"/>
  <c r="F28" i="1"/>
  <c r="C29" i="1"/>
  <c r="D30" i="1"/>
  <c r="H30" i="1"/>
  <c r="D37" i="1"/>
  <c r="C28" i="1"/>
  <c r="C32" i="1"/>
  <c r="E20" i="1"/>
  <c r="C20" i="1" l="1"/>
  <c r="D20" i="1"/>
  <c r="D33" i="1"/>
  <c r="E33" i="1"/>
  <c r="D18" i="1"/>
  <c r="G18" i="1"/>
  <c r="H18" i="1"/>
  <c r="F32" i="1"/>
  <c r="D31" i="1"/>
  <c r="H32" i="1"/>
  <c r="G31" i="1"/>
  <c r="E31" i="1"/>
  <c r="D9" i="1"/>
  <c r="E9" i="1"/>
  <c r="C18" i="1"/>
  <c r="F18" i="1"/>
  <c r="F36" i="1"/>
  <c r="D36" i="1"/>
  <c r="G33" i="1"/>
  <c r="C33" i="1"/>
  <c r="H31" i="1"/>
  <c r="C31" i="1"/>
  <c r="C26" i="1"/>
  <c r="F34" i="1"/>
  <c r="F26" i="1"/>
  <c r="H34" i="1"/>
  <c r="D26" i="1"/>
  <c r="G26" i="1"/>
  <c r="D34" i="1"/>
  <c r="G34" i="1"/>
  <c r="H26" i="1"/>
  <c r="C34" i="1"/>
  <c r="C7" i="1"/>
  <c r="H9" i="1"/>
  <c r="F21" i="1"/>
  <c r="C17" i="1"/>
  <c r="G17" i="1"/>
  <c r="H16" i="1"/>
  <c r="D16" i="1"/>
  <c r="C21" i="1"/>
  <c r="H21" i="1"/>
  <c r="D17" i="1"/>
  <c r="E17" i="1"/>
  <c r="D29" i="1"/>
  <c r="G29" i="1"/>
  <c r="E37" i="1"/>
  <c r="H7" i="1"/>
  <c r="O8" i="1"/>
  <c r="D7" i="1"/>
  <c r="O12" i="1"/>
  <c r="E7" i="1"/>
  <c r="O14" i="1"/>
  <c r="O13" i="1"/>
  <c r="G7" i="1"/>
  <c r="G21" i="1"/>
  <c r="F29" i="1"/>
  <c r="D21" i="1"/>
  <c r="H17" i="1"/>
  <c r="G37" i="1"/>
  <c r="C37" i="1"/>
  <c r="F37" i="1"/>
  <c r="C27" i="1"/>
  <c r="F20" i="1"/>
  <c r="C16" i="1"/>
  <c r="G16" i="1"/>
  <c r="H35" i="1"/>
  <c r="G35" i="1"/>
  <c r="E35" i="1"/>
  <c r="Q12" i="1"/>
  <c r="Q9" i="1"/>
  <c r="Q16" i="1"/>
  <c r="Q10" i="1"/>
  <c r="Q6" i="1"/>
  <c r="Q14" i="1"/>
  <c r="Q7" i="1"/>
  <c r="Q15" i="1"/>
  <c r="E10" i="1"/>
  <c r="Q11" i="1"/>
  <c r="D10" i="1"/>
  <c r="Q17" i="1"/>
  <c r="G10" i="1"/>
  <c r="H10" i="1"/>
  <c r="C10" i="1"/>
  <c r="T7" i="1"/>
  <c r="U7" i="1" s="1"/>
  <c r="C36" i="1"/>
  <c r="H36" i="1"/>
  <c r="G19" i="1"/>
  <c r="C19" i="1"/>
  <c r="E36" i="1"/>
  <c r="E19" i="1"/>
  <c r="D19" i="1"/>
  <c r="T11" i="1"/>
  <c r="X11" i="1" s="1"/>
  <c r="T10" i="1"/>
  <c r="U10" i="1" s="1"/>
  <c r="P11" i="1"/>
  <c r="P7" i="1"/>
  <c r="V1" i="1"/>
  <c r="T2" i="1" s="1"/>
  <c r="P7" i="2"/>
  <c r="Y7" i="2" s="1"/>
  <c r="P12" i="1"/>
  <c r="P15" i="1"/>
  <c r="P10" i="1"/>
  <c r="P16" i="1"/>
  <c r="O17" i="1"/>
  <c r="P6" i="1"/>
  <c r="P14" i="1"/>
  <c r="Q13" i="1"/>
  <c r="O6" i="1"/>
  <c r="O15" i="1"/>
  <c r="T13" i="1"/>
  <c r="O7" i="1"/>
  <c r="O16" i="1"/>
  <c r="N8" i="2" a="1"/>
  <c r="N8" i="2" s="1"/>
  <c r="R6" i="2" s="1"/>
  <c r="AA6" i="2" s="1"/>
  <c r="T8" i="1"/>
  <c r="O10" i="1"/>
  <c r="O9" i="1"/>
  <c r="P17" i="1"/>
  <c r="T9" i="1"/>
  <c r="X9" i="1" s="1"/>
  <c r="P13" i="1"/>
  <c r="D35" i="1"/>
  <c r="C35" i="1"/>
  <c r="P83" i="7"/>
  <c r="O83" i="7"/>
  <c r="N83" i="7"/>
  <c r="M83" i="7"/>
  <c r="H19" i="1"/>
  <c r="F21" i="5"/>
  <c r="E21" i="5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F9" i="5"/>
  <c r="E9" i="5"/>
  <c r="Y8" i="2"/>
  <c r="Q8" i="2"/>
  <c r="Q71" i="7"/>
  <c r="Q59" i="7" s="1"/>
  <c r="G59" i="7"/>
  <c r="Q7" i="2"/>
  <c r="Z7" i="2" s="1"/>
  <c r="M9" i="2" a="1"/>
  <c r="M9" i="2" s="1"/>
  <c r="P9" i="2" s="1"/>
  <c r="N18" i="1"/>
  <c r="Z6" i="1"/>
  <c r="AB6" i="1" s="1"/>
  <c r="AD6" i="1" s="1"/>
  <c r="U6" i="1"/>
  <c r="X6" i="1"/>
  <c r="W6" i="1"/>
  <c r="V6" i="1"/>
  <c r="V7" i="1" l="1"/>
  <c r="U9" i="1"/>
  <c r="V11" i="1"/>
  <c r="Q18" i="1"/>
  <c r="U11" i="1"/>
  <c r="W11" i="1"/>
  <c r="W10" i="1"/>
  <c r="V10" i="1"/>
  <c r="Z11" i="1"/>
  <c r="X10" i="1"/>
  <c r="X7" i="1"/>
  <c r="W9" i="1"/>
  <c r="W7" i="1"/>
  <c r="V9" i="1"/>
  <c r="T1" i="1"/>
  <c r="P18" i="1"/>
  <c r="Z8" i="1"/>
  <c r="W8" i="1"/>
  <c r="Z7" i="1"/>
  <c r="V8" i="1"/>
  <c r="Z10" i="1"/>
  <c r="U8" i="1"/>
  <c r="Z9" i="1"/>
  <c r="X8" i="1"/>
  <c r="O18" i="1"/>
  <c r="N9" i="2" a="1"/>
  <c r="N9" i="2" s="1"/>
  <c r="S6" i="2" s="1"/>
  <c r="AB6" i="2" s="1"/>
  <c r="R8" i="2"/>
  <c r="AA8" i="2" s="1"/>
  <c r="R7" i="2"/>
  <c r="AA7" i="2" s="1"/>
  <c r="Z8" i="2"/>
  <c r="M10" i="2" a="1"/>
  <c r="M10" i="2" s="1"/>
  <c r="P10" i="2" s="1"/>
  <c r="Q9" i="2"/>
  <c r="R9" i="2"/>
  <c r="Y9" i="2"/>
  <c r="AA7" i="1"/>
  <c r="AF6" i="1"/>
  <c r="AG6" i="1"/>
  <c r="AE6" i="1"/>
  <c r="AH6" i="1"/>
  <c r="AK6" i="1"/>
  <c r="AB7" i="1" l="1"/>
  <c r="U18" i="1"/>
  <c r="V18" i="1"/>
  <c r="W18" i="1"/>
  <c r="X18" i="1"/>
  <c r="AB9" i="1"/>
  <c r="AB8" i="1"/>
  <c r="AB10" i="1"/>
  <c r="AB11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L6" i="1"/>
  <c r="AN6" i="1"/>
  <c r="AO6" i="1"/>
  <c r="AM6" i="1"/>
  <c r="AD8" i="1" l="1"/>
  <c r="AF8" i="1" s="1"/>
  <c r="AM8" i="1" s="1"/>
  <c r="AD7" i="1"/>
  <c r="AF7" i="1" s="1"/>
  <c r="AD9" i="1"/>
  <c r="AH9" i="1" s="1"/>
  <c r="AO9" i="1" s="1"/>
  <c r="AD11" i="1"/>
  <c r="AK11" i="1" s="1"/>
  <c r="AD10" i="1"/>
  <c r="AH10" i="1" s="1"/>
  <c r="AO10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7" i="2" s="1"/>
  <c r="AC6" i="2"/>
  <c r="T11" i="2"/>
  <c r="Y11" i="2"/>
  <c r="Z11" i="2" s="1"/>
  <c r="AB10" i="2"/>
  <c r="AA10" i="2"/>
  <c r="Z10" i="2"/>
  <c r="AC11" i="2" l="1"/>
  <c r="AA11" i="2"/>
  <c r="AG8" i="1"/>
  <c r="AN8" i="1" s="1"/>
  <c r="AG11" i="1"/>
  <c r="AN11" i="1" s="1"/>
  <c r="AG7" i="1"/>
  <c r="AN7" i="1" s="1"/>
  <c r="AF11" i="1"/>
  <c r="AM11" i="1" s="1"/>
  <c r="AH8" i="1"/>
  <c r="AO8" i="1" s="1"/>
  <c r="AK8" i="1"/>
  <c r="AE8" i="1"/>
  <c r="AL8" i="1" s="1"/>
  <c r="AE10" i="1"/>
  <c r="AL10" i="1" s="1"/>
  <c r="AK9" i="1"/>
  <c r="AK7" i="1"/>
  <c r="AE9" i="1"/>
  <c r="AL9" i="1" s="1"/>
  <c r="AF9" i="1"/>
  <c r="AM9" i="1" s="1"/>
  <c r="AE7" i="1"/>
  <c r="AL7" i="1" s="1"/>
  <c r="AH7" i="1"/>
  <c r="AO7" i="1" s="1"/>
  <c r="AK10" i="1"/>
  <c r="AH11" i="1"/>
  <c r="AO11" i="1" s="1"/>
  <c r="AF10" i="1"/>
  <c r="AM10" i="1" s="1"/>
  <c r="AE11" i="1"/>
  <c r="AL11" i="1" s="1"/>
  <c r="AG9" i="1"/>
  <c r="AN9" i="1" s="1"/>
  <c r="AG10" i="1"/>
  <c r="AN10" i="1" s="1"/>
  <c r="AB11" i="2"/>
  <c r="U10" i="2"/>
  <c r="AD10" i="2" s="1"/>
  <c r="U11" i="2"/>
  <c r="AD11" i="2" s="1"/>
  <c r="AD6" i="2"/>
  <c r="N12" i="2" a="1"/>
  <c r="N12" i="2" s="1"/>
  <c r="V6" i="2" s="1"/>
  <c r="V11" i="2" s="1"/>
  <c r="AE11" i="2" s="1"/>
  <c r="U8" i="2"/>
  <c r="AD8" i="2" s="1"/>
  <c r="U7" i="2"/>
  <c r="AD7" i="2" s="1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M7" i="1"/>
  <c r="AL12" i="1" l="1"/>
  <c r="AE12" i="1"/>
  <c r="AH12" i="1"/>
  <c r="AG12" i="1"/>
  <c r="AN12" i="1"/>
  <c r="AF12" i="1"/>
  <c r="AM12" i="1"/>
  <c r="AO12" i="1"/>
  <c r="N13" i="2" a="1"/>
  <c r="N13" i="2" s="1"/>
  <c r="W6" i="2" s="1"/>
  <c r="AF6" i="2" s="1"/>
  <c r="AE6" i="2"/>
  <c r="V9" i="2"/>
  <c r="AE9" i="2" s="1"/>
  <c r="V10" i="2"/>
  <c r="AE10" i="2" s="1"/>
  <c r="V12" i="2"/>
  <c r="AE12" i="2" s="1"/>
  <c r="V7" i="2"/>
  <c r="AE7" i="2" s="1"/>
  <c r="V8" i="2"/>
  <c r="AE8" i="2" s="1"/>
  <c r="V14" i="2"/>
  <c r="AE14" i="2" s="1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/>
  <c r="Y13" i="2" l="1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AF7" i="2" s="1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AE13" i="2" s="1"/>
  <c r="W13" i="2"/>
  <c r="AF13" i="2" s="1"/>
  <c r="S13" i="2"/>
  <c r="AB13" i="2" s="1"/>
  <c r="AA13" i="2"/>
  <c r="Z13" i="2"/>
  <c r="AC13" i="2"/>
  <c r="AA14" i="2"/>
  <c r="AB14" i="2"/>
  <c r="V15" i="2"/>
  <c r="AE15" i="2" s="1"/>
  <c r="R15" i="2"/>
  <c r="U15" i="2"/>
  <c r="AD15" i="2" s="1"/>
  <c r="Q15" i="2"/>
  <c r="Y15" i="2"/>
  <c r="T15" i="2"/>
  <c r="W15" i="2"/>
  <c r="AF15" i="2" s="1"/>
  <c r="S15" i="2"/>
  <c r="AC14" i="2"/>
  <c r="N16" i="2" l="1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U16" i="2" l="1"/>
  <c r="AD16" i="2" s="1"/>
  <c r="Q16" i="2"/>
  <c r="Z16" i="2" s="1"/>
  <c r="R16" i="2"/>
  <c r="AA16" i="2" s="1"/>
  <c r="V16" i="2"/>
  <c r="AE16" i="2" s="1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AE17" i="2" s="1"/>
  <c r="T17" i="2"/>
  <c r="P19" i="2" l="1"/>
  <c r="M20" i="2" a="1"/>
  <c r="M20" i="2" s="1"/>
  <c r="Z17" i="2"/>
  <c r="AC17" i="2"/>
  <c r="AB17" i="2"/>
  <c r="AA17" i="2"/>
  <c r="W18" i="2"/>
  <c r="AF18" i="2" s="1"/>
  <c r="S18" i="2"/>
  <c r="V18" i="2"/>
  <c r="AE18" i="2" s="1"/>
  <c r="Q18" i="2"/>
  <c r="U18" i="2"/>
  <c r="AD18" i="2" s="1"/>
  <c r="T18" i="2"/>
  <c r="Y18" i="2"/>
  <c r="R18" i="2"/>
  <c r="P20" i="2" l="1"/>
  <c r="M21" i="2" a="1"/>
  <c r="M21" i="2" s="1"/>
  <c r="AB18" i="2"/>
  <c r="AC18" i="2"/>
  <c r="AA18" i="2"/>
  <c r="Z18" i="2"/>
  <c r="U19" i="2"/>
  <c r="AD19" i="2" s="1"/>
  <c r="Q19" i="2"/>
  <c r="Z19" i="2" s="1"/>
  <c r="V19" i="2"/>
  <c r="AE19" i="2" s="1"/>
  <c r="T19" i="2"/>
  <c r="AC19" i="2" s="1"/>
  <c r="Y19" i="2"/>
  <c r="S19" i="2"/>
  <c r="AB19" i="2" s="1"/>
  <c r="R19" i="2"/>
  <c r="AA19" i="2" s="1"/>
  <c r="W19" i="2"/>
  <c r="AF19" i="2" s="1"/>
  <c r="P21" i="2" l="1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AE20" i="2" s="1"/>
  <c r="Q20" i="2"/>
  <c r="Z20" i="2" s="1"/>
  <c r="U20" i="2"/>
  <c r="AD20" i="2" s="1"/>
  <c r="P22" i="2" l="1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AE21" i="2" s="1"/>
  <c r="T21" i="2"/>
  <c r="AC21" i="2" s="1"/>
  <c r="P23" i="2" l="1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AE22" i="2" s="1"/>
  <c r="T22" i="2"/>
  <c r="AC22" i="2" s="1"/>
  <c r="R22" i="2"/>
  <c r="AA22" i="2" s="1"/>
  <c r="P24" i="2" l="1"/>
  <c r="M25" i="2" a="1"/>
  <c r="M25" i="2" s="1"/>
  <c r="W23" i="2"/>
  <c r="AF23" i="2" s="1"/>
  <c r="S23" i="2"/>
  <c r="AB23" i="2" s="1"/>
  <c r="V23" i="2"/>
  <c r="AE23" i="2" s="1"/>
  <c r="Q23" i="2"/>
  <c r="Z23" i="2" s="1"/>
  <c r="U23" i="2"/>
  <c r="AD23" i="2" s="1"/>
  <c r="T23" i="2"/>
  <c r="AC23" i="2" s="1"/>
  <c r="R23" i="2"/>
  <c r="AA23" i="2" s="1"/>
  <c r="Y23" i="2"/>
  <c r="P25" i="2" l="1"/>
  <c r="M26" i="2" a="1"/>
  <c r="M26" i="2" s="1"/>
  <c r="U24" i="2"/>
  <c r="AD24" i="2" s="1"/>
  <c r="Q24" i="2"/>
  <c r="Z24" i="2" s="1"/>
  <c r="V24" i="2"/>
  <c r="AE24" i="2" s="1"/>
  <c r="S24" i="2"/>
  <c r="AB24" i="2" s="1"/>
  <c r="Y24" i="2"/>
  <c r="R24" i="2"/>
  <c r="AA24" i="2" s="1"/>
  <c r="W24" i="2"/>
  <c r="AF24" i="2" s="1"/>
  <c r="T24" i="2"/>
  <c r="AC24" i="2" s="1"/>
  <c r="P26" i="2" l="1"/>
  <c r="M27" i="2" a="1"/>
  <c r="M27" i="2" s="1"/>
  <c r="W25" i="2"/>
  <c r="AF25" i="2" s="1"/>
  <c r="S25" i="2"/>
  <c r="AB25" i="2" s="1"/>
  <c r="T25" i="2"/>
  <c r="AC25" i="2" s="1"/>
  <c r="V25" i="2"/>
  <c r="AE25" i="2" s="1"/>
  <c r="U25" i="2"/>
  <c r="AD25" i="2" s="1"/>
  <c r="R25" i="2"/>
  <c r="AA25" i="2" s="1"/>
  <c r="Y25" i="2"/>
  <c r="Q25" i="2"/>
  <c r="Z25" i="2" s="1"/>
  <c r="P27" i="2" l="1"/>
  <c r="M28" i="2" a="1"/>
  <c r="M28" i="2" s="1"/>
  <c r="U26" i="2"/>
  <c r="AD26" i="2" s="1"/>
  <c r="Q26" i="2"/>
  <c r="Z26" i="2" s="1"/>
  <c r="Y26" i="2"/>
  <c r="S26" i="2"/>
  <c r="AB26" i="2" s="1"/>
  <c r="V26" i="2"/>
  <c r="AE26" i="2" s="1"/>
  <c r="T26" i="2"/>
  <c r="AC26" i="2" s="1"/>
  <c r="R26" i="2"/>
  <c r="AA26" i="2" s="1"/>
  <c r="W26" i="2"/>
  <c r="AF26" i="2" s="1"/>
  <c r="P28" i="2" l="1"/>
  <c r="M29" i="2" a="1"/>
  <c r="M29" i="2" s="1"/>
  <c r="W27" i="2"/>
  <c r="AF27" i="2" s="1"/>
  <c r="S27" i="2"/>
  <c r="AB27" i="2" s="1"/>
  <c r="V27" i="2"/>
  <c r="AE27" i="2" s="1"/>
  <c r="Q27" i="2"/>
  <c r="Z27" i="2" s="1"/>
  <c r="T27" i="2"/>
  <c r="AC27" i="2" s="1"/>
  <c r="R27" i="2"/>
  <c r="AA27" i="2" s="1"/>
  <c r="Y27" i="2"/>
  <c r="U27" i="2"/>
  <c r="AD27" i="2" s="1"/>
  <c r="P29" i="2" l="1"/>
  <c r="M30" i="2" a="1"/>
  <c r="M30" i="2" s="1"/>
  <c r="U28" i="2"/>
  <c r="AD28" i="2" s="1"/>
  <c r="Q28" i="2"/>
  <c r="Z28" i="2" s="1"/>
  <c r="V28" i="2"/>
  <c r="AE28" i="2" s="1"/>
  <c r="Y28" i="2"/>
  <c r="R28" i="2"/>
  <c r="AA28" i="2" s="1"/>
  <c r="W28" i="2"/>
  <c r="AF28" i="2" s="1"/>
  <c r="T28" i="2"/>
  <c r="AC28" i="2" s="1"/>
  <c r="S28" i="2"/>
  <c r="AB28" i="2" s="1"/>
  <c r="P30" i="2" l="1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s="1"/>
  <c r="P31" i="2" l="1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s="1"/>
  <c r="P32" i="2" l="1"/>
  <c r="M33" i="2" a="1"/>
  <c r="M33" i="2" s="1"/>
  <c r="W31" i="2"/>
  <c r="AF31" i="2" s="1"/>
  <c r="S31" i="2"/>
  <c r="AB31" i="2" s="1"/>
  <c r="V31" i="2"/>
  <c r="AE31" i="2" s="1"/>
  <c r="Q31" i="2"/>
  <c r="Z31" i="2" s="1"/>
  <c r="R31" i="2"/>
  <c r="AA31" i="2" s="1"/>
  <c r="Y31" i="2"/>
  <c r="U31" i="2"/>
  <c r="AD31" i="2" s="1"/>
  <c r="T31" i="2"/>
  <c r="AC31" i="2" s="1"/>
  <c r="P33" i="2" l="1"/>
  <c r="M34" i="2" a="1"/>
  <c r="M34" i="2" s="1"/>
  <c r="U32" i="2"/>
  <c r="AD32" i="2" s="1"/>
  <c r="Q32" i="2"/>
  <c r="Z32" i="2" s="1"/>
  <c r="V32" i="2"/>
  <c r="AE32" i="2" s="1"/>
  <c r="Y32" i="2"/>
  <c r="S32" i="2"/>
  <c r="AB32" i="2" s="1"/>
  <c r="R32" i="2"/>
  <c r="AA32" i="2" s="1"/>
  <c r="W32" i="2"/>
  <c r="AF32" i="2" s="1"/>
  <c r="T32" i="2"/>
  <c r="AC32" i="2" s="1"/>
  <c r="P34" i="2" l="1"/>
  <c r="M35" i="2" a="1"/>
  <c r="M35" i="2" s="1"/>
  <c r="W33" i="2"/>
  <c r="AF33" i="2" s="1"/>
  <c r="S33" i="2"/>
  <c r="AB33" i="2" s="1"/>
  <c r="T33" i="2"/>
  <c r="AC33" i="2" s="1"/>
  <c r="V33" i="2"/>
  <c r="AE33" i="2" s="1"/>
  <c r="Q33" i="2"/>
  <c r="Z33" i="2" s="1"/>
  <c r="Y33" i="2"/>
  <c r="U33" i="2"/>
  <c r="AD33" i="2" s="1"/>
  <c r="R33" i="2"/>
  <c r="AA33" i="2" s="1"/>
  <c r="P35" i="2" l="1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AE34" i="2" s="1"/>
  <c r="T34" i="2"/>
  <c r="AC34" i="2" s="1"/>
  <c r="P36" i="2" l="1"/>
  <c r="M37" i="2" a="1"/>
  <c r="M37" i="2" s="1"/>
  <c r="W35" i="2"/>
  <c r="AF35" i="2" s="1"/>
  <c r="S35" i="2"/>
  <c r="AB35" i="2" s="1"/>
  <c r="V35" i="2"/>
  <c r="AE35" i="2" s="1"/>
  <c r="Q35" i="2"/>
  <c r="Z35" i="2" s="1"/>
  <c r="U35" i="2"/>
  <c r="AD35" i="2" s="1"/>
  <c r="T35" i="2"/>
  <c r="AC35" i="2" s="1"/>
  <c r="R35" i="2"/>
  <c r="AA35" i="2" s="1"/>
  <c r="Y35" i="2"/>
  <c r="P37" i="2" l="1"/>
  <c r="M38" i="2" a="1"/>
  <c r="M38" i="2" s="1"/>
  <c r="P38" i="2" s="1"/>
  <c r="U36" i="2"/>
  <c r="AD36" i="2" s="1"/>
  <c r="Q36" i="2"/>
  <c r="Z36" i="2" s="1"/>
  <c r="V36" i="2"/>
  <c r="AE36" i="2" s="1"/>
  <c r="T36" i="2"/>
  <c r="AC36" i="2" s="1"/>
  <c r="Y36" i="2"/>
  <c r="S36" i="2"/>
  <c r="AB36" i="2" s="1"/>
  <c r="W36" i="2"/>
  <c r="AF36" i="2" s="1"/>
  <c r="R36" i="2"/>
  <c r="AA36" i="2" s="1"/>
  <c r="V38" i="2" l="1"/>
  <c r="AE38" i="2" s="1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AE37" i="2" s="1"/>
  <c r="Q37" i="2"/>
  <c r="Z37" i="2" s="1"/>
  <c r="U37" i="2"/>
  <c r="AD37" i="2" s="1"/>
  <c r="AH7" i="2" l="1"/>
  <c r="AG5" i="3" s="1"/>
  <c r="U4" i="3" s="1"/>
</calcChain>
</file>

<file path=xl/sharedStrings.xml><?xml version="1.0" encoding="utf-8"?>
<sst xmlns="http://schemas.openxmlformats.org/spreadsheetml/2006/main" count="512" uniqueCount="226">
  <si>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</si>
  <si>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</si>
  <si>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</si>
  <si>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</si>
  <si>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</si>
  <si>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</si>
  <si>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</si>
  <si>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</si>
  <si>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</si>
  <si>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</si>
  <si>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</si>
  <si>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</si>
  <si>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</si>
  <si>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</si>
  <si>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</si>
  <si>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</si>
  <si>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</si>
  <si>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</si>
  <si>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</si>
  <si>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</si>
  <si>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</si>
  <si>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</si>
  <si>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</si>
  <si>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</si>
  <si>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</si>
  <si>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</si>
  <si>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</si>
  <si>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</si>
  <si>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</si>
  <si>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</si>
  <si>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</si>
  <si>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</si>
  <si>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</si>
  <si>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</si>
  <si>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</si>
  <si>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</si>
  <si>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</si>
  <si>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</si>
  <si>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</si>
  <si>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</si>
  <si>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</si>
  <si>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</si>
  <si>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</si>
  <si>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</si>
  <si>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</si>
  <si>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</si>
  <si>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</si>
  <si>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</si>
  <si>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</si>
  <si>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</si>
  <si>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</si>
  <si>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</si>
  <si>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</si>
  <si>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</si>
  <si>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</si>
  <si>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</si>
  <si>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</si>
  <si>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</si>
  <si>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</si>
  <si>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</si>
  <si>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</si>
  <si>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</si>
  <si>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</si>
  <si>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</si>
  <si>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</si>
  <si>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</si>
  <si>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</si>
  <si>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</si>
  <si>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</si>
  <si>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</si>
  <si>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</si>
  <si>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</si>
  <si>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</si>
  <si>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</si>
  <si>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</si>
  <si>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</si>
  <si>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</si>
  <si>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</si>
  <si>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</si>
  <si>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</si>
  <si>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</si>
  <si>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</si>
  <si>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</si>
  <si>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</si>
  <si>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</si>
  <si>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</si>
  <si>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</si>
  <si>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</si>
  <si>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</si>
  <si>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</si>
  <si>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</si>
  <si>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</si>
  <si>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</si>
  <si>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</si>
  <si>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</si>
  <si>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</si>
  <si>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</si>
  <si>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</si>
  <si>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</si>
  <si>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</si>
  <si>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</si>
  <si>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</si>
  <si>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</si>
  <si>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</si>
  <si>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</si>
  <si>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</si>
  <si>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</si>
  <si>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</si>
  <si>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</si>
  <si>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</si>
  <si>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</si>
  <si>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</si>
  <si>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</si>
  <si>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</si>
  <si>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</si>
  <si>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</si>
  <si>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ЛУКАШИН  Игорь Павлович</t>
  </si>
  <si>
    <t>11.03.2001, МС</t>
  </si>
  <si>
    <t>МОС</t>
  </si>
  <si>
    <t>Москва, ВС</t>
  </si>
  <si>
    <t>Богомолов В.А Мартынов И.В Павлов Д.А Юхарев С.С</t>
  </si>
  <si>
    <t xml:space="preserve">ШИЛОВ  Дмитрий  Андреевич </t>
  </si>
  <si>
    <t>05.06.2001, МС</t>
  </si>
  <si>
    <t>Москва, МО</t>
  </si>
  <si>
    <t xml:space="preserve">Астахов Денис Борисович, Трескин Сергей Михайлович </t>
  </si>
  <si>
    <t>УЛЬЯНОВ Федор  Александрович</t>
  </si>
  <si>
    <t>27.02.2002, КМС</t>
  </si>
  <si>
    <t>Москва, Москва, ВС</t>
  </si>
  <si>
    <t xml:space="preserve">Богомолов В.А. , Мартынов И.В.. </t>
  </si>
  <si>
    <t>МАМЕДОВ Камран Кямилевич</t>
  </si>
  <si>
    <t>07.04.1999, МС</t>
  </si>
  <si>
    <t>Москва, Москва, МО</t>
  </si>
  <si>
    <t>Гончаров Ю.С., Мартынов М.Г.</t>
  </si>
  <si>
    <t xml:space="preserve">БУШУЕВ  Никита Александрович </t>
  </si>
  <si>
    <t>24.07.2003, КМС</t>
  </si>
  <si>
    <t>ПФО</t>
  </si>
  <si>
    <t>Нижегородская, Нижний Новгород, ЦСКА</t>
  </si>
  <si>
    <t>Додонов А.И.</t>
  </si>
  <si>
    <t>МАКСИМОВ Роман Влексеевич</t>
  </si>
  <si>
    <t>27.04.2001, КМС</t>
  </si>
  <si>
    <t>Р. Татарстан, Казань</t>
  </si>
  <si>
    <t>Иванов В.А</t>
  </si>
  <si>
    <t xml:space="preserve">ДИЛМИЕВ  Фирзан  Флюрович </t>
  </si>
  <si>
    <t>17.06.2003, КМС</t>
  </si>
  <si>
    <t>Чувашская, Чебоксары, МС</t>
  </si>
  <si>
    <t>Аббязов Р.Р Пегасов С.В</t>
  </si>
  <si>
    <t xml:space="preserve">КУЗНЕЦОВ  Константин Александрович </t>
  </si>
  <si>
    <t>27.12.2003, КМС</t>
  </si>
  <si>
    <t>Пегасов, Арсентьев</t>
  </si>
  <si>
    <t xml:space="preserve">ИВАНОВ Павел Владимирович </t>
  </si>
  <si>
    <t>19.05.2003, КМС</t>
  </si>
  <si>
    <t>Матвеев Р.В. Пегасов С.В.</t>
  </si>
  <si>
    <t>ГАДЖИЕВ Завир Агавердиевич</t>
  </si>
  <si>
    <t>27.11.2003, КМС</t>
  </si>
  <si>
    <t>СКФО</t>
  </si>
  <si>
    <t>Р.Дагестан, Каспийск, ПР</t>
  </si>
  <si>
    <t>Джанбеков Т.А., Арсланбеков М.М.</t>
  </si>
  <si>
    <t>КОРОБКОВ Григорий Георгиевич</t>
  </si>
  <si>
    <t>26.07.2003, КМС</t>
  </si>
  <si>
    <t>СПБ</t>
  </si>
  <si>
    <t>Санкт-Петербург, МО</t>
  </si>
  <si>
    <t>Свирида Е.Ф.</t>
  </si>
  <si>
    <t xml:space="preserve">ОНИЩЕНКО  Андрей  Антониевич </t>
  </si>
  <si>
    <t>07.02.2001, МС</t>
  </si>
  <si>
    <t>СФО</t>
  </si>
  <si>
    <t>Иркутская, Усть-Илимск, МО</t>
  </si>
  <si>
    <t>Сунгатуллин А.М. Коротеев А.А.</t>
  </si>
  <si>
    <t xml:space="preserve">АГАДЖАНЯН  Ален Ишханович </t>
  </si>
  <si>
    <t>07.01.2002, КМС</t>
  </si>
  <si>
    <t>Красноярский, Красноярск, МО</t>
  </si>
  <si>
    <t>Гусаров В.П.</t>
  </si>
  <si>
    <t>МАКАРОВ  Эзен  Радимович</t>
  </si>
  <si>
    <t>26.05.2000, МС</t>
  </si>
  <si>
    <t>Р.Алтай, Горно-Алтайск, ПР</t>
  </si>
  <si>
    <t>Семендеев Э.С.</t>
  </si>
  <si>
    <t>ЛУКЬЯНЧУК Николай Александрович</t>
  </si>
  <si>
    <t>23.01.2001, МС</t>
  </si>
  <si>
    <t>УФО</t>
  </si>
  <si>
    <t>ХМАО-Югра, Нижневартовск, ВС</t>
  </si>
  <si>
    <t xml:space="preserve">Воробьев В. В., Ситдиков О. Р. </t>
  </si>
  <si>
    <t>СВИНЧУКОВ  Александр Павлович</t>
  </si>
  <si>
    <t>04.02.2003, КМС</t>
  </si>
  <si>
    <t>ЦФО</t>
  </si>
  <si>
    <t>Брянская, Брянск, ЮР</t>
  </si>
  <si>
    <t>Портнов С.В., Гагарин А.В.</t>
  </si>
  <si>
    <t>ЭМИНОВ Магамед Ширинович</t>
  </si>
  <si>
    <t>02.07.2000, МС</t>
  </si>
  <si>
    <t>Костромская, Кострома, ВС</t>
  </si>
  <si>
    <t>Степанов А.А.</t>
  </si>
  <si>
    <t>САПРЫКИН Владислав Николаевич</t>
  </si>
  <si>
    <t>25.10.2003, КМС</t>
  </si>
  <si>
    <t>Коркин Ю.Д.</t>
  </si>
  <si>
    <t>УСОВ Дмитрий Николаевич</t>
  </si>
  <si>
    <t>26.10.1999, МС</t>
  </si>
  <si>
    <t>Липецкая, Елец, Д</t>
  </si>
  <si>
    <t>Урюпин Э. А., Шкарин И. Н.</t>
  </si>
  <si>
    <t>БАКОТИН Илья Максимович</t>
  </si>
  <si>
    <t>27.12.2002, кмс</t>
  </si>
  <si>
    <t>Московская, Дзержинсий, МО</t>
  </si>
  <si>
    <t>Курдадзе ЛМ, Лецко АВ</t>
  </si>
  <si>
    <t xml:space="preserve">ПЕТРОВ  Глеб  Владимирович </t>
  </si>
  <si>
    <t>22.05.2002, МС</t>
  </si>
  <si>
    <t>Тульская, Тула</t>
  </si>
  <si>
    <t xml:space="preserve">Копейкин П. С. </t>
  </si>
  <si>
    <t xml:space="preserve">ТЛИШЕВ  Харун  Аминович </t>
  </si>
  <si>
    <t>15.11.1999, МСМК</t>
  </si>
  <si>
    <t>ЮФО</t>
  </si>
  <si>
    <t>Краснодарский, Армавир, ВС</t>
  </si>
  <si>
    <t>Псеунов М.А</t>
  </si>
  <si>
    <t>ЛАЗУКИН Александр Валерьевич</t>
  </si>
  <si>
    <t>31.10.2002, КМС</t>
  </si>
  <si>
    <t>Краснодарский, Армавир, ЦСКА</t>
  </si>
  <si>
    <t>Бородин Владимир Георгиевич</t>
  </si>
  <si>
    <t xml:space="preserve">ПАСТЕРНАК  Денис Иванович </t>
  </si>
  <si>
    <t>16.02.1999, МС</t>
  </si>
  <si>
    <t>Краснодарский, Курганинск, ВС</t>
  </si>
  <si>
    <t>Потапов И.С.</t>
  </si>
  <si>
    <t>ГОМЛЕШКО Анзор  Алиевич</t>
  </si>
  <si>
    <t>02.08.2003, МС</t>
  </si>
  <si>
    <t>Р.Адыгея, Майкоп, МО</t>
  </si>
  <si>
    <t>Гомлешко А.А., Делок А.А</t>
  </si>
  <si>
    <t>ПЕРЕПЕЛИЦЫН Даниил Андреевич</t>
  </si>
  <si>
    <t>23.02.2002, МС</t>
  </si>
  <si>
    <t>Ростовская, Ростов-на-Дону</t>
  </si>
  <si>
    <t>Бабаков ВВ, Пантелеев ЕА</t>
  </si>
  <si>
    <t>В.к.58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</si>
</sst>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9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sz val="1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80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43" fillId="0" borderId="90" xfId="1" applyNumberFormat="1" applyFont="1" applyBorder="1" applyAlignment="1" applyProtection="1">
      <alignment horizontal="left" vertical="center" wrapText="1"/>
      <protection locked="0"/>
    </xf>
    <xf numFmtId="0" fontId="43" fillId="0" borderId="22" xfId="1" applyNumberFormat="1" applyFont="1" applyBorder="1" applyAlignment="1" applyProtection="1">
      <alignment horizontal="left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17" fillId="0" borderId="0" xfId="0" applyFont="1" applyAlignment="1">
      <alignment horizontal="center" vertical="center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22224</xdr:colOff>
      <xdr:row>0</xdr:row>
      <xdr:rowOff>22225</xdr:rowOff>
    </xdr:from>
    <xdr:to>
      <xdr:col>1</xdr:col>
      <xdr:colOff>180974</xdr:colOff>
      <xdr:row>1</xdr:row>
      <xdr:rowOff>149225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" y="22225"/>
          <a:ext cx="511175" cy="49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2428875</xdr:colOff>
          <xdr:row>3</xdr:row>
          <xdr:rowOff>19050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228600</xdr:rowOff>
        </xdr:from>
        <xdr:to>
          <xdr:col>1</xdr:col>
          <xdr:colOff>38100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3</xdr:row>
          <xdr:rowOff>28575</xdr:rowOff>
        </xdr:from>
        <xdr:to>
          <xdr:col>2</xdr:col>
          <xdr:colOff>19050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76200</xdr:colOff>
          <xdr:row>1</xdr:row>
          <xdr:rowOff>333375</xdr:rowOff>
        </xdr:from>
        <xdr:to>
          <xdr:col>36</xdr:col>
          <xdr:colOff>104775</xdr:colOff>
          <xdr:row>1</xdr:row>
          <xdr:rowOff>647700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tabSelected="1" topLeftCell="A8" workbookViewId="0">
      <selection activeCell="Y2" sqref="Y2:AI24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12" t="s">
        <v>74</v>
      </c>
      <c r="B1" s="312"/>
      <c r="C1" s="312"/>
      <c r="D1" s="312"/>
      <c r="E1" s="312"/>
      <c r="F1" s="312"/>
      <c r="G1" s="312"/>
      <c r="H1" s="312"/>
    </row>
    <row r="2" spans="1:35" ht="27.75" customHeight="1">
      <c r="A2" s="319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2" s="319"/>
      <c r="C2" s="319"/>
      <c r="D2" s="319"/>
      <c r="E2" s="319"/>
      <c r="F2" s="319"/>
      <c r="G2" s="319"/>
      <c r="H2" s="319"/>
      <c r="I2" s="226"/>
      <c r="J2" s="226"/>
      <c r="K2" s="226"/>
      <c r="Y2" s="579">
        <v>58</v>
      </c>
    </row>
    <row r="3" spans="1:35" ht="12.75" customHeight="1">
      <c r="A3" s="313" t="str">
        <f>[1]реквизиты!$A$3</f>
        <v>17-21 января 2022года                          г.Кстово</v>
      </c>
      <c r="B3" s="313"/>
      <c r="C3" s="313"/>
      <c r="D3" s="313"/>
      <c r="E3" s="313"/>
      <c r="F3" s="313"/>
      <c r="G3" s="313"/>
      <c r="H3" s="313"/>
    </row>
    <row r="4" spans="1:35" ht="15">
      <c r="D4" s="37" t="s">
        <v>225</v>
      </c>
      <c r="E4" s="37"/>
      <c r="Y4" s="301" t="s">
        <v>71</v>
      </c>
      <c r="Z4" s="301"/>
      <c r="AA4" s="301"/>
      <c r="AB4" s="301"/>
      <c r="AC4" s="301"/>
      <c r="AD4" s="301"/>
      <c r="AE4" s="301"/>
    </row>
    <row r="5" spans="1:35" ht="12.75" customHeight="1" thickBot="1">
      <c r="A5" s="303" t="s">
        <v>75</v>
      </c>
      <c r="B5" s="314" t="s">
        <v>4</v>
      </c>
      <c r="C5" s="303" t="s">
        <v>5</v>
      </c>
      <c r="D5" s="303" t="s">
        <v>6</v>
      </c>
      <c r="E5" s="315" t="s">
        <v>7</v>
      </c>
      <c r="F5" s="316"/>
      <c r="G5" s="303" t="s">
        <v>9</v>
      </c>
      <c r="H5" s="303" t="s">
        <v>8</v>
      </c>
      <c r="Q5" s="302"/>
      <c r="R5" s="302"/>
      <c r="S5" s="302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17"/>
      <c r="F6" s="318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КМС</v>
      </c>
      <c r="R6" s="239" t="str">
        <f>N8</f>
        <v>МС</v>
      </c>
      <c r="S6" s="240" t="str">
        <f>N9</f>
        <v>МСМК</v>
      </c>
      <c r="T6" s="240" t="str">
        <f>N10</f>
        <v/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72</v>
      </c>
      <c r="Z6" s="229" t="str">
        <f t="shared" ref="Z6:AF6" si="0">Q6</f>
        <v>КМС</v>
      </c>
      <c r="AA6" s="229" t="str">
        <f t="shared" si="0"/>
        <v>МС</v>
      </c>
      <c r="AB6" s="241" t="str">
        <f t="shared" si="0"/>
        <v>МСМК</v>
      </c>
      <c r="AC6" s="241" t="str">
        <f t="shared" si="0"/>
        <v/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2" t="s">
        <v>76</v>
      </c>
      <c r="B7" s="243">
        <v>1</v>
      </c>
      <c r="C7" s="291" t="s">
        <v>121</v>
      </c>
      <c r="D7" s="244" t="s">
        <v>122</v>
      </c>
      <c r="E7" s="297" t="s">
        <v>118</v>
      </c>
      <c r="F7" s="291" t="s">
        <v>123</v>
      </c>
      <c r="G7" s="298"/>
      <c r="H7" s="294" t="s">
        <v>124</v>
      </c>
      <c r="I7" s="45"/>
      <c r="J7" s="245">
        <v>1</v>
      </c>
      <c r="K7" s="237" t="str">
        <f>IFERROR(RIGHT(D7,LEN(D7)-FIND("*",SUBSTITUTE(D7," ","*",LEN(D7)-LEN(SUBSTITUTE(D7," ",""))))),D7)</f>
        <v>МС</v>
      </c>
      <c r="L7" s="237" t="str">
        <f>IFERROR(LEFT(F7,FIND(",",F7)-1),F7)</f>
        <v>Москва</v>
      </c>
      <c r="M7" s="246" t="str">
        <f t="array" ref="M7">IFERROR(INDEX(субъект,MATCH(SUM(COUNTIF(M$6:M6,субъект)),COUNTIF(субъект,"&lt;"&amp;субъект),0)),"")</f>
        <v>Брянская</v>
      </c>
      <c r="N7" s="246" t="str">
        <f t="array" ref="N7">IFERROR(INDEX(разряд,MATCH(SUM(COUNTIF(N$6:N6,разряд)),COUNTIF(разряд,"&lt;"&amp;разряд),0)),"")</f>
        <v>КМС</v>
      </c>
      <c r="O7" s="247">
        <v>1</v>
      </c>
      <c r="P7" s="182" t="str">
        <f t="shared" ref="P7:P38" si="1">M7</f>
        <v>Брянская</v>
      </c>
      <c r="Q7" s="248">
        <f t="shared" ref="Q7:Q38" si="2">SUMIFS($J$7:$J$54,$L$7:$L$54,P7,$K$7:$K$54,Q$6)</f>
        <v>1</v>
      </c>
      <c r="R7" s="248">
        <f t="shared" ref="R7:R38" si="3">SUMIFS($J$7:$J$54,$L$7:$L$54,P7,$K$7:$K$54,R$6)</f>
        <v>0</v>
      </c>
      <c r="S7" s="249">
        <f t="shared" ref="S7:S38" si="4">SUMIFS($J$7:$J$54,$L$7:$L$54,P7,$K$7:$K$54,S$6)</f>
        <v>0</v>
      </c>
      <c r="T7" s="250">
        <f t="shared" ref="T7:T38" si="5">SUMIFS($J$7:$J$54,$L$7:$L$54,P7,$K$7:$K$54,T$6)</f>
        <v>0</v>
      </c>
      <c r="U7" s="250">
        <f t="shared" ref="U7:U38" si="6">SUMIFS($J$7:$J$54,$L$7:$L$54,P7,$K$7:$K$54,U$6)</f>
        <v>0</v>
      </c>
      <c r="V7" s="250">
        <f t="shared" ref="V7:V38" si="7">SUMIFS($J$7:$J$54,$L$7:$L$54,P7,$K$7:$K$54,V$6)</f>
        <v>0</v>
      </c>
      <c r="W7" s="250">
        <f t="shared" ref="W7:W38" si="8">SUMIFS($J$7:$J$54,$L$7:$L$54,P7,$K$7:$K$54,W$6)</f>
        <v>0</v>
      </c>
      <c r="X7" s="251"/>
      <c r="Y7" s="252" t="str">
        <f>P7</f>
        <v>Брянская</v>
      </c>
      <c r="Z7" s="233">
        <f>IF(Q7=0," ",Q7)</f>
        <v>1</v>
      </c>
      <c r="AA7" s="233" t="str">
        <f>IF(R7=0," ",R7)</f>
        <v xml:space="preserve"> 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08">
        <f>SUM(Z7:AF38)</f>
        <v>26</v>
      </c>
      <c r="AI7" s="309"/>
    </row>
    <row r="8" spans="1:35" ht="18.95" customHeight="1" thickBot="1">
      <c r="A8" s="242" t="s">
        <v>77</v>
      </c>
      <c r="B8" s="243">
        <v>2</v>
      </c>
      <c r="C8" s="291" t="s">
        <v>217</v>
      </c>
      <c r="D8" s="244" t="s">
        <v>218</v>
      </c>
      <c r="E8" s="297" t="s">
        <v>206</v>
      </c>
      <c r="F8" s="299" t="s">
        <v>219</v>
      </c>
      <c r="G8" s="298"/>
      <c r="H8" s="294" t="s">
        <v>220</v>
      </c>
      <c r="I8" s="45"/>
      <c r="J8" s="245">
        <v>1</v>
      </c>
      <c r="K8" s="237" t="str">
        <f t="shared" ref="K8:K38" si="10">IFERROR(RIGHT(D8,LEN(D8)-FIND("*",SUBSTITUTE(D8," ","*",LEN(D8)-LEN(SUBSTITUTE(D8," ",""))))),D8)</f>
        <v>МС</v>
      </c>
      <c r="L8" s="237" t="str">
        <f t="shared" ref="L8:L22" si="11">IFERROR(LEFT(F8,FIND(",",F8)-1),F8)</f>
        <v>Р.Адыгея</v>
      </c>
      <c r="M8" s="246" t="str">
        <f t="array" ref="M8">IFERROR(INDEX(субъект,MATCH(SUM(COUNTIF(M$6:M7,субъект)),COUNTIF(субъект,"&lt;"&amp;субъект),0)),"")</f>
        <v>Иркутская</v>
      </c>
      <c r="N8" s="246" t="str">
        <f t="array" ref="N8">IFERROR(INDEX(разряд,MATCH(SUM(COUNTIF(N$6:N7,разряд)),COUNTIF(разряд,"&lt;"&amp;разряд),0)),"")</f>
        <v>МС</v>
      </c>
      <c r="O8" s="247">
        <v>2</v>
      </c>
      <c r="P8" s="182" t="str">
        <f t="shared" si="1"/>
        <v>Иркутская</v>
      </c>
      <c r="Q8" s="248">
        <f t="shared" si="2"/>
        <v>0</v>
      </c>
      <c r="R8" s="248">
        <f t="shared" si="3"/>
        <v>1</v>
      </c>
      <c r="S8" s="249">
        <f t="shared" si="4"/>
        <v>0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2">P8</f>
        <v>Иркутская</v>
      </c>
      <c r="Z8" s="184" t="str">
        <f>IF($Y$8=$Y$7," ",IF(Q8=0," ",Q8))</f>
        <v xml:space="preserve"> </v>
      </c>
      <c r="AA8" s="184">
        <f>IF($Y$8=$Y$7," ",IF(R8=0," ",R8))</f>
        <v>1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10"/>
      <c r="AI8" s="311"/>
    </row>
    <row r="9" spans="1:35" ht="18.95" customHeight="1">
      <c r="A9" s="242" t="s">
        <v>78</v>
      </c>
      <c r="B9" s="243">
        <v>3</v>
      </c>
      <c r="C9" s="291" t="s">
        <v>157</v>
      </c>
      <c r="D9" s="244" t="s">
        <v>158</v>
      </c>
      <c r="E9" s="297" t="s">
        <v>159</v>
      </c>
      <c r="F9" s="291" t="s">
        <v>160</v>
      </c>
      <c r="G9" s="298"/>
      <c r="H9" s="294" t="s">
        <v>161</v>
      </c>
      <c r="I9" s="45"/>
      <c r="J9" s="245">
        <v>1</v>
      </c>
      <c r="K9" s="237" t="str">
        <f t="shared" si="10"/>
        <v>КМС</v>
      </c>
      <c r="L9" s="237" t="str">
        <f t="shared" si="11"/>
        <v>Санкт-Петербург</v>
      </c>
      <c r="M9" s="246" t="str">
        <f t="array" ref="M9">IFERROR(INDEX(субъект,MATCH(SUM(COUNTIF(M$6:M8,субъект)),COUNTIF(субъект,"&lt;"&amp;субъект),0)),"")</f>
        <v>Костромская</v>
      </c>
      <c r="N9" s="246" t="str">
        <f t="array" ref="N9">IFERROR(INDEX(разряд,MATCH(SUM(COUNTIF(N$6:N8,разряд)),COUNTIF(разряд,"&lt;"&amp;разряд),0)),"")</f>
        <v>МСМК</v>
      </c>
      <c r="O9" s="247">
        <v>3</v>
      </c>
      <c r="P9" s="182" t="str">
        <f t="shared" si="1"/>
        <v>Костромская</v>
      </c>
      <c r="Q9" s="248">
        <f t="shared" si="2"/>
        <v>1</v>
      </c>
      <c r="R9" s="248">
        <f t="shared" si="3"/>
        <v>1</v>
      </c>
      <c r="S9" s="249">
        <f t="shared" si="4"/>
        <v>0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2"/>
        <v>Костромская</v>
      </c>
      <c r="Z9" s="184">
        <f>IF(OR($Y9=$Y7,$Y9=$Y8)," ",IF(Q9=0," ",Q9))</f>
        <v>1</v>
      </c>
      <c r="AA9" s="184">
        <f>IF(OR($Y9=$Y7,$Y9=$Y8)," ",IF(R9=0," ",R9))</f>
        <v>1</v>
      </c>
      <c r="AB9" s="184" t="str">
        <f>IF(OR($Y9=$Y7,$Y9=$Y8)," ",IF(S9=0," ",S9))</f>
        <v xml:space="preserve"> 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2" t="s">
        <v>79</v>
      </c>
      <c r="B10" s="243">
        <v>4</v>
      </c>
      <c r="C10" s="291" t="s">
        <v>175</v>
      </c>
      <c r="D10" s="244" t="s">
        <v>176</v>
      </c>
      <c r="E10" s="297" t="s">
        <v>177</v>
      </c>
      <c r="F10" s="292" t="s">
        <v>178</v>
      </c>
      <c r="G10" s="298"/>
      <c r="H10" s="294" t="s">
        <v>179</v>
      </c>
      <c r="I10" s="45"/>
      <c r="J10" s="245">
        <v>1</v>
      </c>
      <c r="K10" s="237" t="str">
        <f t="shared" si="10"/>
        <v>МС</v>
      </c>
      <c r="L10" s="237" t="str">
        <f t="shared" si="11"/>
        <v>ХМАО-Югра</v>
      </c>
      <c r="M10" s="246" t="str">
        <f t="array" ref="M10">IFERROR(INDEX(субъект,MATCH(SUM(COUNTIF(M$6:M9,субъект)),COUNTIF(субъект,"&lt;"&amp;субъект),0)),"")</f>
        <v>Краснодарский</v>
      </c>
      <c r="N10" s="246" t="str">
        <f t="array" ref="N10">IFERROR(INDEX(разряд,MATCH(SUM(COUNTIF(N$6:N9,разряд)),COUNTIF(разряд,"&lt;"&amp;разряд),0)),"")</f>
        <v/>
      </c>
      <c r="O10" s="247">
        <v>4</v>
      </c>
      <c r="P10" s="182" t="str">
        <f t="shared" si="1"/>
        <v>Краснодарский</v>
      </c>
      <c r="Q10" s="248">
        <f t="shared" si="2"/>
        <v>1</v>
      </c>
      <c r="R10" s="248">
        <f t="shared" si="3"/>
        <v>1</v>
      </c>
      <c r="S10" s="249">
        <f t="shared" si="4"/>
        <v>1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2"/>
        <v>Краснодарский</v>
      </c>
      <c r="Z10" s="184">
        <f>IF(OR($Y10=$Y8,$Y10=$Y9,$Y10=$Y7)," ",IF(Q10=0," ",Q10))</f>
        <v>1</v>
      </c>
      <c r="AA10" s="184">
        <f>IF(OR($Y10=$Y8,$Y10=$Y9,$Y10=$Y7)," ",IF(R10=0," ",R10))</f>
        <v>1</v>
      </c>
      <c r="AB10" s="184">
        <f>IF(OR($Y10=$Y8,$Y10=$Y9,$Y10=$Y7)," ",IF(S10=0," ",S10))</f>
        <v>1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2" t="s">
        <v>80</v>
      </c>
      <c r="B11" s="243">
        <v>5</v>
      </c>
      <c r="C11" s="291" t="s">
        <v>185</v>
      </c>
      <c r="D11" s="244" t="s">
        <v>186</v>
      </c>
      <c r="E11" s="297" t="s">
        <v>182</v>
      </c>
      <c r="F11" s="291" t="s">
        <v>187</v>
      </c>
      <c r="G11" s="298"/>
      <c r="H11" s="294" t="s">
        <v>188</v>
      </c>
      <c r="I11" s="45"/>
      <c r="J11" s="245">
        <v>1</v>
      </c>
      <c r="K11" s="237" t="str">
        <f t="shared" si="10"/>
        <v>МС</v>
      </c>
      <c r="L11" s="237" t="str">
        <f t="shared" si="11"/>
        <v>Костромская</v>
      </c>
      <c r="M11" s="246" t="str">
        <f t="array" ref="M11">IFERROR(INDEX(субъект,MATCH(SUM(COUNTIF(M$6:M10,субъект)),COUNTIF(субъект,"&lt;"&amp;субъект),0)),"")</f>
        <v>Красноярский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>Красноярский</v>
      </c>
      <c r="Q11" s="248">
        <f t="shared" si="2"/>
        <v>1</v>
      </c>
      <c r="R11" s="248">
        <f t="shared" si="3"/>
        <v>0</v>
      </c>
      <c r="S11" s="249">
        <f t="shared" si="4"/>
        <v>0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2"/>
        <v>Красноярский</v>
      </c>
      <c r="Z11" s="184">
        <f>IF(OR($Y11=$Y9,$Y11=$Y10,$Y11=$Y8,$Y11=$Y7)," ",IF(Q11=0," ",Q11))</f>
        <v>1</v>
      </c>
      <c r="AA11" s="184" t="str">
        <f>IF(OR($Y11=$Y9,$Y11=$Y10,$Y11=$Y8,$Y11=$Y7)," ",IF(R11=0," ",R11))</f>
        <v xml:space="preserve"> </v>
      </c>
      <c r="AB11" s="184" t="str">
        <f>IF(OR($Y11=$Y9,$Y11=$Y10,$Y11=$Y8,$Y11=$Y7)," ",IF(S11=0," ",S11))</f>
        <v xml:space="preserve"> 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2" t="s">
        <v>81</v>
      </c>
      <c r="B12" s="243">
        <v>6</v>
      </c>
      <c r="C12" s="291" t="s">
        <v>129</v>
      </c>
      <c r="D12" s="244" t="s">
        <v>130</v>
      </c>
      <c r="E12" s="297" t="s">
        <v>118</v>
      </c>
      <c r="F12" s="291" t="s">
        <v>131</v>
      </c>
      <c r="G12" s="298"/>
      <c r="H12" s="294" t="s">
        <v>132</v>
      </c>
      <c r="I12" s="45"/>
      <c r="J12" s="245">
        <v>1</v>
      </c>
      <c r="K12" s="237" t="str">
        <f t="shared" si="10"/>
        <v>МС</v>
      </c>
      <c r="L12" s="237" t="str">
        <f t="shared" si="11"/>
        <v>Москва</v>
      </c>
      <c r="M12" s="246" t="str">
        <f t="array" ref="M12">IFERROR(INDEX(субъект,MATCH(SUM(COUNTIF(M$6:M11,субъект)),COUNTIF(субъект,"&lt;"&amp;субъект),0)),"")</f>
        <v>Липецкая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>Липецкая</v>
      </c>
      <c r="Q12" s="248">
        <f t="shared" si="2"/>
        <v>0</v>
      </c>
      <c r="R12" s="248">
        <f t="shared" si="3"/>
        <v>1</v>
      </c>
      <c r="S12" s="249">
        <f t="shared" si="4"/>
        <v>0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2"/>
        <v>Липецкая</v>
      </c>
      <c r="Z12" s="184" t="str">
        <f>IF(OR($Y12=$Y10,$Y12=$Y11,$Y12=$Y9,$Y12=$Y8,$Y12=$Y7)," ",IF(Q12=0," ",Q12))</f>
        <v xml:space="preserve"> </v>
      </c>
      <c r="AA12" s="184">
        <f>IF(OR($Y12=$Y10,$Y12=$Y11,$Y12=$Y9,$Y12=$Y8,$Y12=$Y7)," ",IF(R12=0," ",R12))</f>
        <v>1</v>
      </c>
      <c r="AB12" s="184" t="str">
        <f>IF(OR($Y12=$Y10,$Y12=$Y11,$Y12=$Y9,$Y12=$Y8,$Y12=$Y7)," ",IF(S12=0," ",S12))</f>
        <v xml:space="preserve"> </v>
      </c>
      <c r="AC12" s="184" t="str">
        <f>IF(OR($Y12=$Y10,$Y12=$Y11,$Y12=$Y9,$Y12=$Y8,$Y12=$Y7)," ",IF(T12=0," ",T12))</f>
        <v xml:space="preserve"> 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2" t="s">
        <v>82</v>
      </c>
      <c r="B13" s="243">
        <v>7</v>
      </c>
      <c r="C13" s="291" t="s">
        <v>149</v>
      </c>
      <c r="D13" s="244" t="s">
        <v>150</v>
      </c>
      <c r="E13" s="297" t="s">
        <v>135</v>
      </c>
      <c r="F13" s="291" t="s">
        <v>144</v>
      </c>
      <c r="G13" s="298"/>
      <c r="H13" s="294" t="s">
        <v>151</v>
      </c>
      <c r="I13" s="45"/>
      <c r="J13" s="245">
        <v>1</v>
      </c>
      <c r="K13" s="237" t="str">
        <f t="shared" si="10"/>
        <v>КМС</v>
      </c>
      <c r="L13" s="237" t="str">
        <f t="shared" si="11"/>
        <v>Чувашская</v>
      </c>
      <c r="M13" s="246" t="str">
        <f t="array" ref="M13">IFERROR(INDEX(субъект,MATCH(SUM(COUNTIF(M$6:M12,субъект)),COUNTIF(субъект,"&lt;"&amp;субъект),0)),"")</f>
        <v>Москва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>Москва</v>
      </c>
      <c r="Q13" s="248">
        <f t="shared" si="2"/>
        <v>1</v>
      </c>
      <c r="R13" s="248">
        <f t="shared" si="3"/>
        <v>3</v>
      </c>
      <c r="S13" s="249">
        <f t="shared" si="4"/>
        <v>0</v>
      </c>
      <c r="T13" s="250">
        <f t="shared" si="5"/>
        <v>0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2"/>
        <v>Москва</v>
      </c>
      <c r="Z13" s="184">
        <f>IF(OR($Y13=$Y11,$Y13=$Y12,$Y13=$Y10,$Y13=$Y9,$Y13=$Y8,$Y13=$Y7)," ",IF(Q13=0," ",Q13))</f>
        <v>1</v>
      </c>
      <c r="AA13" s="184">
        <f>IF(OR($Y13=$Y11,$Y13=$Y12,$Y13=$Y10,$Y13=$Y9,$Y13=$Y8,$Y13=$Y7)," ",IF(R13=0," ",R13))</f>
        <v>3</v>
      </c>
      <c r="AB13" s="184" t="str">
        <f>IF(OR($Y13=$Y11,$Y13=$Y12,$Y13=$Y10,$Y13=$Y9,$Y13=$Y8,$Y13=$Y7)," ",IF(S13=0," ",S13))</f>
        <v xml:space="preserve"> 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2" t="s">
        <v>83</v>
      </c>
      <c r="B14" s="243">
        <v>8</v>
      </c>
      <c r="C14" s="291" t="s">
        <v>125</v>
      </c>
      <c r="D14" s="244" t="s">
        <v>126</v>
      </c>
      <c r="E14" s="297" t="s">
        <v>118</v>
      </c>
      <c r="F14" s="291" t="s">
        <v>127</v>
      </c>
      <c r="G14" s="298"/>
      <c r="H14" s="294" t="s">
        <v>128</v>
      </c>
      <c r="I14" s="45"/>
      <c r="J14" s="245">
        <v>1</v>
      </c>
      <c r="K14" s="237" t="str">
        <f t="shared" si="10"/>
        <v>КМС</v>
      </c>
      <c r="L14" s="237" t="str">
        <f t="shared" si="11"/>
        <v>Москва</v>
      </c>
      <c r="M14" s="246" t="str">
        <f t="array" ref="M14">IFERROR(INDEX(субъект,MATCH(SUM(COUNTIF(M$6:M13,субъект)),COUNTIF(субъект,"&lt;"&amp;субъект),0)),"")</f>
        <v>Московская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>Московская</v>
      </c>
      <c r="Q14" s="248">
        <f t="shared" si="2"/>
        <v>1</v>
      </c>
      <c r="R14" s="248">
        <f t="shared" si="3"/>
        <v>0</v>
      </c>
      <c r="S14" s="249">
        <f t="shared" si="4"/>
        <v>0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2"/>
        <v>Московская</v>
      </c>
      <c r="Z14" s="184">
        <f>IF(OR($Y14=$Y12,$Y14=$Y13,$Y14=$Y11,$Y14=$Y10,$Y14=$Y9,$Y14=$Y7)," ",IF(Q14=0," ",Q14))</f>
        <v>1</v>
      </c>
      <c r="AA14" s="184" t="str">
        <f>IF(OR($Y14=$Y12,$Y14=$Y13,$Y14=$Y11,$Y14=$Y10,$Y14=$Y9,$Y14=$Y7)," ",IF(R14=0," ",R14))</f>
        <v xml:space="preserve"> </v>
      </c>
      <c r="AB14" s="184" t="str">
        <f>IF(OR($Y14=$Y12,$Y14=$Y13,$Y14=$Y11,$Y14=$Y10,$Y14=$Y9,$Y14=$Y7)," ",IF(S14=0," ",S14))</f>
        <v xml:space="preserve"> 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2" t="s">
        <v>84</v>
      </c>
      <c r="B15" s="243">
        <v>9</v>
      </c>
      <c r="C15" s="292" t="s">
        <v>142</v>
      </c>
      <c r="D15" s="238" t="s">
        <v>143</v>
      </c>
      <c r="E15" s="238" t="s">
        <v>135</v>
      </c>
      <c r="F15" s="292" t="s">
        <v>144</v>
      </c>
      <c r="G15" s="253"/>
      <c r="H15" s="295" t="s">
        <v>145</v>
      </c>
      <c r="I15" s="45"/>
      <c r="J15" s="245">
        <v>1</v>
      </c>
      <c r="K15" s="237" t="str">
        <f t="shared" si="10"/>
        <v>КМС</v>
      </c>
      <c r="L15" s="237" t="str">
        <f t="shared" si="11"/>
        <v>Чувашская</v>
      </c>
      <c r="M15" s="246" t="str">
        <f t="array" ref="M15">IFERROR(INDEX(субъект,MATCH(SUM(COUNTIF(M$6:M14,субъект)),COUNTIF(субъект,"&lt;"&amp;субъект),0)),"")</f>
        <v>Нижегородская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>Нижегородская</v>
      </c>
      <c r="Q15" s="248">
        <f t="shared" si="2"/>
        <v>1</v>
      </c>
      <c r="R15" s="248">
        <f t="shared" si="3"/>
        <v>0</v>
      </c>
      <c r="S15" s="249">
        <f t="shared" si="4"/>
        <v>0</v>
      </c>
      <c r="T15" s="250">
        <f t="shared" si="5"/>
        <v>0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2"/>
        <v>Нижегородская</v>
      </c>
      <c r="Z15" s="184">
        <f>IF(OR($Y15=$Y13,$Y15=$Y14,$Y15=$Y12,$Y15=$Y11,$Y15=$Y10,$Y15=$Y8,$Y15=$Y7)," ",IF(Q15=0," ",Q15))</f>
        <v>1</v>
      </c>
      <c r="AA15" s="184" t="str">
        <f>IF(OR($Y15=$Y13,$Y15=$Y14,$Y15=$Y12,$Y15=$Y11,$Y15=$Y10,$Y15=$Y8,$Y15=$Y7)," ",IF(R15=0," ",R15))</f>
        <v xml:space="preserve"> </v>
      </c>
      <c r="AB15" s="184" t="str">
        <f>IF(OR($Y15=$Y13,$Y15=$Y14,$Y15=$Y12,$Y15=$Y11,$Y15=$Y10,$Y15=$Y8,$Y15=$Y7)," ",IF(S15=0," ",S15))</f>
        <v xml:space="preserve"> 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2" t="s">
        <v>85</v>
      </c>
      <c r="B16" s="243">
        <v>10</v>
      </c>
      <c r="C16" s="291" t="s">
        <v>196</v>
      </c>
      <c r="D16" s="244" t="s">
        <v>197</v>
      </c>
      <c r="E16" s="244" t="s">
        <v>182</v>
      </c>
      <c r="F16" s="291" t="s">
        <v>198</v>
      </c>
      <c r="G16" s="244"/>
      <c r="H16" s="294" t="s">
        <v>199</v>
      </c>
      <c r="I16" s="45"/>
      <c r="J16" s="245">
        <v>1</v>
      </c>
      <c r="K16" s="237" t="str">
        <f t="shared" si="10"/>
        <v>кмс</v>
      </c>
      <c r="L16" s="237" t="str">
        <f t="shared" si="11"/>
        <v>Московская</v>
      </c>
      <c r="M16" s="246" t="str">
        <f t="array" ref="M16">IFERROR(INDEX(субъект,MATCH(SUM(COUNTIF(M$6:M15,субъект)),COUNTIF(субъект,"&lt;"&amp;субъект),0)),"")</f>
        <v>Р. Татарстан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>Р. Татарстан</v>
      </c>
      <c r="Q16" s="248">
        <f t="shared" si="2"/>
        <v>1</v>
      </c>
      <c r="R16" s="248">
        <f t="shared" si="3"/>
        <v>0</v>
      </c>
      <c r="S16" s="249">
        <f t="shared" si="4"/>
        <v>0</v>
      </c>
      <c r="T16" s="250">
        <f t="shared" si="5"/>
        <v>0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2"/>
        <v>Р. Татарстан</v>
      </c>
      <c r="Z16" s="184">
        <f>IF(OR($Y16=$Y14,$Y16=$Y15,$Y16=$Y13,$Y16=$Y12,$Y16=$Y11,$Y16=$Y9,$Y16=$Y8,$Y16=$Y7)," ",IF(Q16=0," ",Q16))</f>
        <v>1</v>
      </c>
      <c r="AA16" s="184" t="str">
        <f>IF(OR($Y16=$Y14,$Y16=$Y15,$Y16=$Y13,$Y16=$Y12,$Y16=$Y11,$Y16=$Y9,$Y16=$Y8,$Y16=$Y7)," ",IF(R16=0," ",R16))</f>
        <v xml:space="preserve"> 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2" t="s">
        <v>86</v>
      </c>
      <c r="B17" s="243">
        <v>11</v>
      </c>
      <c r="C17" s="291" t="s">
        <v>116</v>
      </c>
      <c r="D17" s="244" t="s">
        <v>117</v>
      </c>
      <c r="E17" s="297" t="s">
        <v>118</v>
      </c>
      <c r="F17" s="291" t="s">
        <v>119</v>
      </c>
      <c r="G17" s="298"/>
      <c r="H17" s="294" t="s">
        <v>120</v>
      </c>
      <c r="I17" s="45"/>
      <c r="J17" s="245">
        <v>1</v>
      </c>
      <c r="K17" s="237" t="str">
        <f t="shared" si="10"/>
        <v>МС</v>
      </c>
      <c r="L17" s="237" t="str">
        <f t="shared" si="11"/>
        <v>Москва</v>
      </c>
      <c r="M17" s="246" t="str">
        <f t="array" ref="M17">IFERROR(INDEX(субъект,MATCH(SUM(COUNTIF(M$6:M16,субъект)),COUNTIF(субъект,"&lt;"&amp;субъект),0)),"")</f>
        <v>Р.Адыгея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Р.Адыгея</v>
      </c>
      <c r="Q17" s="248">
        <f t="shared" si="2"/>
        <v>0</v>
      </c>
      <c r="R17" s="248">
        <f t="shared" si="3"/>
        <v>1</v>
      </c>
      <c r="S17" s="249">
        <f t="shared" si="4"/>
        <v>0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2"/>
        <v>Р.Адыгея</v>
      </c>
      <c r="Z17" s="184" t="str">
        <f>IF(OR($Y17=$Y15,$Y17=$Y16,$Y17=$Y14,$Y17=$Y13,$Y17=$Y12,$Y17=$Y10,$Y17=$Y9,$Y17=$Y8,$Y17=$Y7)," ",IF(Q17=0," ",Q17))</f>
        <v xml:space="preserve"> </v>
      </c>
      <c r="AA17" s="184">
        <f>IF(OR($Y17=$Y15,$Y17=$Y16,$Y17=$Y14,$Y17=$Y13,$Y17=$Y12,$Y17=$Y10,$Y17=$Y9,$Y17=$Y8,$Y17=$Y7)," ",IF(R17=0," ",R17))</f>
        <v>1</v>
      </c>
      <c r="AB17" s="184" t="str">
        <f>IF(OR($Y17=$Y15,$Y17=$Y16,$Y17=$Y14,$Y17=$Y13,$Y17=$Y12,$Y17=$Y10,$Y17=$Y9,$Y17=$Y8,$Y17=$Y7)," ",IF(S17=0," ",S17))</f>
        <v xml:space="preserve"> 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2" t="s">
        <v>87</v>
      </c>
      <c r="B18" s="243">
        <v>12</v>
      </c>
      <c r="C18" s="291" t="s">
        <v>133</v>
      </c>
      <c r="D18" s="244" t="s">
        <v>134</v>
      </c>
      <c r="E18" s="297" t="s">
        <v>135</v>
      </c>
      <c r="F18" s="291" t="s">
        <v>136</v>
      </c>
      <c r="G18" s="298"/>
      <c r="H18" s="294" t="s">
        <v>137</v>
      </c>
      <c r="I18" s="45"/>
      <c r="J18" s="245">
        <v>1</v>
      </c>
      <c r="K18" s="237" t="str">
        <f t="shared" si="10"/>
        <v>КМС</v>
      </c>
      <c r="L18" s="237" t="str">
        <f t="shared" si="11"/>
        <v>Нижегородская</v>
      </c>
      <c r="M18" s="246" t="str">
        <f t="array" ref="M18">IFERROR(INDEX(субъект,MATCH(SUM(COUNTIF(M$6:M17,субъект)),COUNTIF(субъект,"&lt;"&amp;субъект),0)),"")</f>
        <v>Р.Алтай</v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>Р.Алтай</v>
      </c>
      <c r="Q18" s="248">
        <f t="shared" si="2"/>
        <v>0</v>
      </c>
      <c r="R18" s="248">
        <f t="shared" si="3"/>
        <v>1</v>
      </c>
      <c r="S18" s="249">
        <f t="shared" si="4"/>
        <v>0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2"/>
        <v>Р.Алтай</v>
      </c>
      <c r="Z18" s="184" t="str">
        <f>IF(OR($Y18=$Y16,$Y18=$Y17,$Y18=$Y15,$Y18=$Y14,$Y18=$Y13,$Y18=$Y11,$Y18=$Y10,$Y18=$Y9,$Y18=$Y8,$Y18=$Y7)," ",IF(Q18=0," ",Q18))</f>
        <v xml:space="preserve"> </v>
      </c>
      <c r="AA18" s="184">
        <f>IF(OR($Y18=$Y16,$Y18=$Y17,$Y18=$Y15,$Y18=$Y14,$Y18=$Y13,$Y18=$Y11,$Y18=$Y10,$Y18=$Y9,$Y18=$Y8,$Y18=$Y7)," ",IF(R18=0," ",R18))</f>
        <v>1</v>
      </c>
      <c r="AB18" s="184" t="str">
        <f>IF(OR($Y18=$Y16,$Y18=$Y17,$Y18=$Y15,$Y18=$Y14,$Y18=$Y13,$Y18=$Y11,$Y18=$Y10,$Y18=$Y9,$Y18=$Y8,$Y18=$Y7)," ",IF(S18=0," ",S18))</f>
        <v xml:space="preserve"> 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2" t="s">
        <v>88</v>
      </c>
      <c r="B19" s="243">
        <v>13</v>
      </c>
      <c r="C19" s="291" t="s">
        <v>138</v>
      </c>
      <c r="D19" s="244" t="s">
        <v>139</v>
      </c>
      <c r="E19" s="244" t="s">
        <v>135</v>
      </c>
      <c r="F19" s="291" t="s">
        <v>140</v>
      </c>
      <c r="G19" s="244"/>
      <c r="H19" s="294" t="s">
        <v>141</v>
      </c>
      <c r="I19" s="45"/>
      <c r="J19" s="245">
        <v>1</v>
      </c>
      <c r="K19" s="237" t="str">
        <f t="shared" si="10"/>
        <v>КМС</v>
      </c>
      <c r="L19" s="237" t="str">
        <f t="shared" si="11"/>
        <v>Р. Татарстан</v>
      </c>
      <c r="M19" s="246" t="str">
        <f t="array" ref="M19">IFERROR(INDEX(субъект,MATCH(SUM(COUNTIF(M$6:M18,субъект)),COUNTIF(субъект,"&lt;"&amp;субъект),0)),"")</f>
        <v>Р.Дагестан</v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>Р.Дагестан</v>
      </c>
      <c r="Q19" s="248">
        <f t="shared" si="2"/>
        <v>1</v>
      </c>
      <c r="R19" s="248">
        <f t="shared" si="3"/>
        <v>0</v>
      </c>
      <c r="S19" s="249">
        <f t="shared" si="4"/>
        <v>0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2"/>
        <v>Р.Дагестан</v>
      </c>
      <c r="Z19" s="184">
        <f t="shared" ref="Z19:AC22" si="13">IF(Q19=0," ",Q19)</f>
        <v>1</v>
      </c>
      <c r="AA19" s="184" t="str">
        <f t="shared" si="13"/>
        <v xml:space="preserve"> 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2" t="s">
        <v>89</v>
      </c>
      <c r="B20" s="243">
        <v>14</v>
      </c>
      <c r="C20" s="291" t="s">
        <v>221</v>
      </c>
      <c r="D20" s="244" t="s">
        <v>222</v>
      </c>
      <c r="E20" s="244" t="s">
        <v>206</v>
      </c>
      <c r="F20" s="299" t="s">
        <v>223</v>
      </c>
      <c r="G20" s="244"/>
      <c r="H20" s="294" t="s">
        <v>224</v>
      </c>
      <c r="I20" s="45"/>
      <c r="J20" s="245">
        <v>1</v>
      </c>
      <c r="K20" s="237" t="str">
        <f t="shared" si="10"/>
        <v>МС</v>
      </c>
      <c r="L20" s="237" t="str">
        <f t="shared" si="11"/>
        <v>Ростовская</v>
      </c>
      <c r="M20" s="246" t="str">
        <f t="array" ref="M20">IFERROR(INDEX(субъект,MATCH(SUM(COUNTIF(M$6:M19,субъект)),COUNTIF(субъект,"&lt;"&amp;субъект),0)),"")</f>
        <v>Ростовская</v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>Ростовская</v>
      </c>
      <c r="Q20" s="248">
        <f t="shared" si="2"/>
        <v>0</v>
      </c>
      <c r="R20" s="248">
        <f t="shared" si="3"/>
        <v>1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2"/>
        <v>Ростовская</v>
      </c>
      <c r="Z20" s="184" t="str">
        <f t="shared" si="13"/>
        <v xml:space="preserve"> </v>
      </c>
      <c r="AA20" s="184">
        <f t="shared" si="13"/>
        <v>1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2" t="s">
        <v>90</v>
      </c>
      <c r="B21" s="243">
        <v>15</v>
      </c>
      <c r="C21" s="291" t="s">
        <v>180</v>
      </c>
      <c r="D21" s="244" t="s">
        <v>181</v>
      </c>
      <c r="E21" s="244" t="s">
        <v>182</v>
      </c>
      <c r="F21" s="299" t="s">
        <v>183</v>
      </c>
      <c r="G21" s="244"/>
      <c r="H21" s="294" t="s">
        <v>184</v>
      </c>
      <c r="I21" s="45"/>
      <c r="J21" s="245">
        <v>1</v>
      </c>
      <c r="K21" s="237" t="str">
        <f t="shared" si="10"/>
        <v>КМС</v>
      </c>
      <c r="L21" s="237" t="str">
        <f t="shared" si="11"/>
        <v>Брянская</v>
      </c>
      <c r="M21" s="246" t="str">
        <f t="array" ref="M21">IFERROR(INDEX(субъект,MATCH(SUM(COUNTIF(M$6:M20,субъект)),COUNTIF(субъект,"&lt;"&amp;субъект),0)),"")</f>
        <v>Санкт-Петербург</v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>Санкт-Петербург</v>
      </c>
      <c r="Q21" s="248">
        <f t="shared" si="2"/>
        <v>1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2"/>
        <v>Санкт-Петербург</v>
      </c>
      <c r="Z21" s="184">
        <f t="shared" si="13"/>
        <v>1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2" t="s">
        <v>91</v>
      </c>
      <c r="B22" s="243">
        <v>16</v>
      </c>
      <c r="C22" s="291" t="s">
        <v>213</v>
      </c>
      <c r="D22" s="244" t="s">
        <v>214</v>
      </c>
      <c r="E22" s="244" t="s">
        <v>206</v>
      </c>
      <c r="F22" s="299" t="s">
        <v>215</v>
      </c>
      <c r="G22" s="244"/>
      <c r="H22" s="294" t="s">
        <v>216</v>
      </c>
      <c r="I22" s="45"/>
      <c r="J22" s="245">
        <v>1</v>
      </c>
      <c r="K22" s="237" t="str">
        <f t="shared" si="10"/>
        <v>МС</v>
      </c>
      <c r="L22" s="237" t="str">
        <f t="shared" si="11"/>
        <v>Краснодарский</v>
      </c>
      <c r="M22" s="246" t="str">
        <f t="array" ref="M22">IFERROR(INDEX(субъект,MATCH(SUM(COUNTIF(M$6:M21,субъект)),COUNTIF(субъект,"&lt;"&amp;субъект),0)),"")</f>
        <v>Тульская</v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>Тульская</v>
      </c>
      <c r="Q22" s="248">
        <f t="shared" si="2"/>
        <v>0</v>
      </c>
      <c r="R22" s="248">
        <f t="shared" si="3"/>
        <v>1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2"/>
        <v>Тульская</v>
      </c>
      <c r="Z22" s="184" t="str">
        <f t="shared" si="13"/>
        <v xml:space="preserve"> </v>
      </c>
      <c r="AA22" s="184">
        <f t="shared" si="13"/>
        <v>1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2" t="s">
        <v>92</v>
      </c>
      <c r="B23" s="243">
        <v>17</v>
      </c>
      <c r="C23" s="292" t="s">
        <v>171</v>
      </c>
      <c r="D23" s="244" t="s">
        <v>172</v>
      </c>
      <c r="E23" s="238" t="s">
        <v>164</v>
      </c>
      <c r="F23" s="292" t="s">
        <v>173</v>
      </c>
      <c r="G23" s="238"/>
      <c r="H23" s="295" t="s">
        <v>174</v>
      </c>
      <c r="I23" s="45"/>
      <c r="J23" s="245">
        <v>1</v>
      </c>
      <c r="K23" s="237" t="str">
        <f t="shared" si="10"/>
        <v>МС</v>
      </c>
      <c r="L23" s="237" t="str">
        <f>IFERROR(LEFT(F23,FIND(",",F23)-1),F23)</f>
        <v>Р.Алтай</v>
      </c>
      <c r="M23" s="246" t="str">
        <f t="array" ref="M23">IFERROR(INDEX(субъект,MATCH(SUM(COUNTIF(M$6:M22,субъект)),COUNTIF(субъект,"&lt;"&amp;субъект),0)),"")</f>
        <v>ХМАО-Югра</v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>ХМАО-Югра</v>
      </c>
      <c r="Q23" s="248">
        <f t="shared" si="2"/>
        <v>0</v>
      </c>
      <c r="R23" s="248">
        <f t="shared" si="3"/>
        <v>1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>ХМАО-Югра</v>
      </c>
      <c r="Z23" s="184" t="str">
        <f>IF(Q23=0," ",Q23)</f>
        <v xml:space="preserve"> </v>
      </c>
      <c r="AA23" s="184">
        <f>IF(R23=0," ",R23)</f>
        <v>1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2" t="s">
        <v>93</v>
      </c>
      <c r="B24" s="243">
        <v>18</v>
      </c>
      <c r="C24" s="292" t="s">
        <v>146</v>
      </c>
      <c r="D24" s="238" t="s">
        <v>147</v>
      </c>
      <c r="E24" s="238" t="s">
        <v>135</v>
      </c>
      <c r="F24" s="292" t="s">
        <v>144</v>
      </c>
      <c r="G24" s="253"/>
      <c r="H24" s="295" t="s">
        <v>148</v>
      </c>
      <c r="I24" s="45"/>
      <c r="J24" s="245">
        <v>1</v>
      </c>
      <c r="K24" s="237" t="str">
        <f t="shared" si="10"/>
        <v>КМС</v>
      </c>
      <c r="L24" s="237" t="str">
        <f t="shared" ref="L24:L38" si="15">IFERROR(LEFT(F24,FIND(",",F24)-1),F24)</f>
        <v>Чувашская</v>
      </c>
      <c r="M24" s="246" t="str">
        <f t="array" ref="M24">IFERROR(INDEX(субъект,MATCH(SUM(COUNTIF(M$6:M23,субъект)),COUNTIF(субъект,"&lt;"&amp;субъект),0)),"")</f>
        <v>Чувашская</v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>Чувашская</v>
      </c>
      <c r="Q24" s="248">
        <f t="shared" si="2"/>
        <v>3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>Чувашская</v>
      </c>
      <c r="Z24" s="184">
        <f t="shared" ref="Z24:AC38" si="17">IF(Q24=0," ",Q24)</f>
        <v>3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2" t="s">
        <v>94</v>
      </c>
      <c r="B25" s="243">
        <v>19</v>
      </c>
      <c r="C25" s="291" t="s">
        <v>162</v>
      </c>
      <c r="D25" s="244" t="s">
        <v>163</v>
      </c>
      <c r="E25" s="244" t="s">
        <v>164</v>
      </c>
      <c r="F25" s="291" t="s">
        <v>165</v>
      </c>
      <c r="G25" s="244"/>
      <c r="H25" s="294" t="s">
        <v>166</v>
      </c>
      <c r="I25" s="45"/>
      <c r="J25" s="245">
        <v>1</v>
      </c>
      <c r="K25" s="237" t="str">
        <f t="shared" si="10"/>
        <v>МС</v>
      </c>
      <c r="L25" s="237" t="str">
        <f t="shared" si="15"/>
        <v>Иркутская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2" t="s">
        <v>95</v>
      </c>
      <c r="B26" s="243">
        <v>20</v>
      </c>
      <c r="C26" s="291" t="s">
        <v>152</v>
      </c>
      <c r="D26" s="244" t="s">
        <v>153</v>
      </c>
      <c r="E26" s="244" t="s">
        <v>154</v>
      </c>
      <c r="F26" s="291" t="s">
        <v>155</v>
      </c>
      <c r="G26" s="244"/>
      <c r="H26" s="294" t="s">
        <v>156</v>
      </c>
      <c r="I26" s="45"/>
      <c r="J26" s="245">
        <v>1</v>
      </c>
      <c r="K26" s="237" t="str">
        <f t="shared" si="10"/>
        <v>КМС</v>
      </c>
      <c r="L26" s="237" t="str">
        <f t="shared" si="15"/>
        <v>Р.Дагестан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2" t="s">
        <v>96</v>
      </c>
      <c r="B27" s="243">
        <v>21</v>
      </c>
      <c r="C27" s="292" t="s">
        <v>204</v>
      </c>
      <c r="D27" s="254" t="s">
        <v>205</v>
      </c>
      <c r="E27" s="238" t="s">
        <v>206</v>
      </c>
      <c r="F27" s="299" t="s">
        <v>207</v>
      </c>
      <c r="G27" s="253"/>
      <c r="H27" s="295" t="s">
        <v>208</v>
      </c>
      <c r="I27" s="45"/>
      <c r="J27" s="245">
        <v>1</v>
      </c>
      <c r="K27" s="237" t="str">
        <f t="shared" si="10"/>
        <v>МСМК</v>
      </c>
      <c r="L27" s="237" t="str">
        <f t="shared" si="15"/>
        <v>Краснодарский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2" t="s">
        <v>97</v>
      </c>
      <c r="B28" s="243">
        <v>22</v>
      </c>
      <c r="C28" s="292" t="s">
        <v>200</v>
      </c>
      <c r="D28" s="254" t="s">
        <v>201</v>
      </c>
      <c r="E28" s="238" t="s">
        <v>182</v>
      </c>
      <c r="F28" s="292" t="s">
        <v>202</v>
      </c>
      <c r="G28" s="253"/>
      <c r="H28" s="295" t="s">
        <v>203</v>
      </c>
      <c r="I28" s="45"/>
      <c r="J28" s="245">
        <v>1</v>
      </c>
      <c r="K28" s="237" t="str">
        <f t="shared" si="10"/>
        <v>МС</v>
      </c>
      <c r="L28" s="237" t="str">
        <f t="shared" si="15"/>
        <v>Тульская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2" t="s">
        <v>98</v>
      </c>
      <c r="B29" s="243">
        <v>23</v>
      </c>
      <c r="C29" s="291" t="s">
        <v>209</v>
      </c>
      <c r="D29" s="244" t="s">
        <v>210</v>
      </c>
      <c r="E29" s="297" t="s">
        <v>206</v>
      </c>
      <c r="F29" s="292" t="s">
        <v>211</v>
      </c>
      <c r="G29" s="298"/>
      <c r="H29" s="294" t="s">
        <v>212</v>
      </c>
      <c r="I29" s="45"/>
      <c r="J29" s="245">
        <v>1</v>
      </c>
      <c r="K29" s="237" t="str">
        <f t="shared" si="10"/>
        <v>КМС</v>
      </c>
      <c r="L29" s="237" t="str">
        <f t="shared" si="15"/>
        <v>Краснодарский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2" t="s">
        <v>99</v>
      </c>
      <c r="B30" s="243">
        <v>24</v>
      </c>
      <c r="C30" s="291" t="s">
        <v>189</v>
      </c>
      <c r="D30" s="244" t="s">
        <v>190</v>
      </c>
      <c r="E30" s="244" t="s">
        <v>182</v>
      </c>
      <c r="F30" s="291" t="s">
        <v>187</v>
      </c>
      <c r="G30" s="244"/>
      <c r="H30" s="294" t="s">
        <v>191</v>
      </c>
      <c r="I30" s="45"/>
      <c r="J30" s="245">
        <v>1</v>
      </c>
      <c r="K30" s="237" t="str">
        <f t="shared" si="10"/>
        <v>КМС</v>
      </c>
      <c r="L30" s="237" t="str">
        <f t="shared" si="15"/>
        <v>Костромская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2" t="s">
        <v>100</v>
      </c>
      <c r="B31" s="243">
        <v>25</v>
      </c>
      <c r="C31" s="291" t="s">
        <v>192</v>
      </c>
      <c r="D31" s="244" t="s">
        <v>193</v>
      </c>
      <c r="E31" s="297" t="s">
        <v>182</v>
      </c>
      <c r="F31" s="291" t="s">
        <v>194</v>
      </c>
      <c r="G31" s="298"/>
      <c r="H31" s="294" t="s">
        <v>195</v>
      </c>
      <c r="I31" s="45"/>
      <c r="J31" s="245">
        <v>1</v>
      </c>
      <c r="K31" s="237" t="str">
        <f t="shared" si="10"/>
        <v>МС</v>
      </c>
      <c r="L31" s="237" t="str">
        <f t="shared" si="15"/>
        <v>Липецкая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2" t="s">
        <v>101</v>
      </c>
      <c r="B32" s="243">
        <v>26</v>
      </c>
      <c r="C32" s="292" t="s">
        <v>167</v>
      </c>
      <c r="D32" s="244" t="s">
        <v>168</v>
      </c>
      <c r="E32" s="238" t="s">
        <v>164</v>
      </c>
      <c r="F32" s="292" t="s">
        <v>169</v>
      </c>
      <c r="G32" s="238"/>
      <c r="H32" s="295" t="s">
        <v>170</v>
      </c>
      <c r="I32" s="45"/>
      <c r="J32" s="245">
        <v>1</v>
      </c>
      <c r="K32" s="237" t="str">
        <f t="shared" si="10"/>
        <v>КМС</v>
      </c>
      <c r="L32" s="237" t="str">
        <f t="shared" si="15"/>
        <v>Красноярский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2" t="s">
        <v>102</v>
      </c>
      <c r="B33" s="243">
        <v>27</v>
      </c>
      <c r="C33" s="293"/>
      <c r="D33" s="237"/>
      <c r="E33" s="255"/>
      <c r="F33" s="299"/>
      <c r="G33" s="256"/>
      <c r="H33" s="296"/>
      <c r="I33" s="45"/>
      <c r="J33" s="245">
        <v>1</v>
      </c>
      <c r="K33" s="237">
        <f t="shared" si="10"/>
        <v>0</v>
      </c>
      <c r="L33" s="237">
        <f t="shared" si="15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2" t="s">
        <v>103</v>
      </c>
      <c r="B34" s="243">
        <v>28</v>
      </c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10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2" t="s">
        <v>104</v>
      </c>
      <c r="B35" s="243">
        <v>29</v>
      </c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10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2" t="s">
        <v>105</v>
      </c>
      <c r="B36" s="243">
        <v>30</v>
      </c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10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2" t="s">
        <v>106</v>
      </c>
      <c r="B37" s="243">
        <v>31</v>
      </c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10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2" t="s">
        <v>107</v>
      </c>
      <c r="B38" s="243">
        <v>32</v>
      </c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10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7" t="s">
        <v>49</v>
      </c>
      <c r="D39" s="258"/>
      <c r="E39" s="258"/>
      <c r="F39" s="258"/>
      <c r="G39" s="258"/>
      <c r="H39" s="258"/>
      <c r="I39" s="15"/>
      <c r="J39" s="305"/>
      <c r="K39" s="306"/>
      <c r="L39" s="307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05"/>
      <c r="K40" s="306"/>
      <c r="L40" s="307"/>
      <c r="M40" s="232"/>
      <c r="N40" s="232"/>
      <c r="O40" s="15"/>
    </row>
    <row r="41" spans="1:32">
      <c r="A41" s="257" t="s">
        <v>50</v>
      </c>
      <c r="D41" s="258"/>
      <c r="E41" s="258"/>
      <c r="F41" s="258"/>
      <c r="G41" s="258"/>
      <c r="H41" s="258"/>
      <c r="J41" s="305"/>
      <c r="K41" s="306"/>
      <c r="L41" s="307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05"/>
      <c r="K42" s="306"/>
      <c r="L42" s="307"/>
      <c r="M42" s="232"/>
      <c r="N42" s="232"/>
      <c r="O42" s="15"/>
    </row>
    <row r="43" spans="1:32">
      <c r="A43" s="257" t="s">
        <v>51</v>
      </c>
      <c r="D43" s="258"/>
      <c r="E43" s="258"/>
      <c r="F43" s="258"/>
      <c r="G43" s="258"/>
      <c r="H43" s="258"/>
      <c r="J43" s="305"/>
      <c r="K43" s="306"/>
      <c r="L43" s="307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05"/>
      <c r="K44" s="306"/>
      <c r="L44" s="307"/>
      <c r="M44" s="232"/>
      <c r="N44" s="232"/>
      <c r="O44" s="15"/>
    </row>
    <row r="45" spans="1:32">
      <c r="A45" s="257" t="s">
        <v>52</v>
      </c>
      <c r="D45" s="258"/>
      <c r="E45" s="258"/>
      <c r="F45" s="258"/>
      <c r="G45" s="258"/>
      <c r="H45" s="258"/>
      <c r="J45" s="305"/>
      <c r="K45" s="306"/>
      <c r="L45" s="307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05"/>
      <c r="K46" s="306"/>
      <c r="L46" s="30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A1:H1"/>
    <mergeCell ref="A3:H3"/>
    <mergeCell ref="A5:A6"/>
    <mergeCell ref="B5:B6"/>
    <mergeCell ref="C5:C6"/>
    <mergeCell ref="D5:D6"/>
    <mergeCell ref="E5:F6"/>
    <mergeCell ref="A2:H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Y4:AE4"/>
    <mergeCell ref="Q5:S5"/>
    <mergeCell ref="G5:G6"/>
    <mergeCell ref="H5:H6"/>
    <mergeCell ref="J41:J42"/>
    <mergeCell ref="K41:K42"/>
    <mergeCell ref="L41:L4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6</xdr:col>
                    <xdr:colOff>0</xdr:colOff>
                    <xdr:row>3</xdr:row>
                    <xdr:rowOff>19050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1</xdr:col>
                    <xdr:colOff>0</xdr:colOff>
                    <xdr:row>0</xdr:row>
                    <xdr:rowOff>228600</xdr:rowOff>
                  </from>
                  <to>
                    <xdr:col>1</xdr:col>
                    <xdr:colOff>38100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228600</xdr:colOff>
                    <xdr:row>3</xdr:row>
                    <xdr:rowOff>28575</xdr:rowOff>
                  </from>
                  <to>
                    <xdr:col>2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Q83"/>
  <sheetViews>
    <sheetView topLeftCell="A19" workbookViewId="0">
      <selection sqref="A1:X43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23" t="s">
        <v>23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96"/>
      <c r="Z1" s="97"/>
    </row>
    <row r="2" spans="1:34" ht="13.5" customHeight="1" thickBot="1">
      <c r="A2" s="328" t="s">
        <v>24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96"/>
      <c r="Z2" s="97"/>
    </row>
    <row r="3" spans="1:34" ht="27.75" customHeight="1" thickBot="1">
      <c r="A3" s="96"/>
      <c r="B3" s="96"/>
      <c r="C3" s="365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7"/>
      <c r="U3" s="96"/>
      <c r="V3" s="337"/>
      <c r="W3" s="337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38" t="str">
        <f>[1]реквизиты!$A$3</f>
        <v>17-21 января 2022года                          г.Кстово</v>
      </c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99"/>
      <c r="U4" s="368" t="str">
        <f>AG5&amp;" "&amp;AH5</f>
        <v>26 участников</v>
      </c>
      <c r="V4" s="324" t="str">
        <f>HYPERLINK(пр.взв!D4)</f>
        <v>В.к.58  кг.</v>
      </c>
      <c r="W4" s="325"/>
      <c r="X4" s="96"/>
      <c r="Y4" s="96"/>
      <c r="Z4" s="97"/>
    </row>
    <row r="5" spans="1:34" ht="14.25" customHeight="1" thickBot="1">
      <c r="A5" s="329" t="s">
        <v>0</v>
      </c>
      <c r="B5" s="96"/>
      <c r="C5" s="96"/>
      <c r="D5" s="96"/>
      <c r="E5" s="96"/>
      <c r="F5" s="96"/>
      <c r="G5" s="96"/>
      <c r="H5" s="100"/>
      <c r="I5" s="329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1" t="str">
        <f>IFERROR(VLOOKUP(O6,пр.взв!$B$7:$H$38,2,0),"")</f>
        <v/>
      </c>
      <c r="Q5" s="332"/>
      <c r="R5" s="332"/>
      <c r="S5" s="333"/>
      <c r="T5" s="102"/>
      <c r="U5" s="369"/>
      <c r="V5" s="326"/>
      <c r="W5" s="327"/>
      <c r="X5" s="329" t="s">
        <v>1</v>
      </c>
      <c r="Y5" s="96"/>
      <c r="Z5" s="97"/>
      <c r="AG5">
        <f>пр.взв!AH7</f>
        <v>26</v>
      </c>
      <c r="AH5" s="257" t="s">
        <v>110</v>
      </c>
    </row>
    <row r="6" spans="1:34" ht="14.25" customHeight="1" thickBot="1">
      <c r="A6" s="330"/>
      <c r="B6" s="103"/>
      <c r="C6" s="96"/>
      <c r="D6" s="96"/>
      <c r="E6" s="96"/>
      <c r="F6" s="96"/>
      <c r="G6" s="96"/>
      <c r="H6" s="96"/>
      <c r="I6" s="329"/>
      <c r="J6" s="104"/>
      <c r="K6" s="105"/>
      <c r="L6" s="106"/>
      <c r="M6" s="104"/>
      <c r="N6" s="104"/>
      <c r="O6" s="107">
        <f>O11</f>
        <v>0</v>
      </c>
      <c r="P6" s="334"/>
      <c r="Q6" s="335"/>
      <c r="R6" s="335"/>
      <c r="S6" s="336"/>
      <c r="T6" s="102"/>
      <c r="U6" s="96"/>
      <c r="V6" s="96"/>
      <c r="W6" s="96"/>
      <c r="X6" s="330"/>
      <c r="Y6" s="96"/>
      <c r="Z6" s="108"/>
      <c r="AA6" s="91"/>
      <c r="AB6" s="91"/>
      <c r="AC6" s="92"/>
      <c r="AD6" s="92"/>
      <c r="AE6" s="92" t="s">
        <v>55</v>
      </c>
    </row>
    <row r="7" spans="1:34" ht="12.75" customHeight="1" thickBot="1">
      <c r="A7" s="346">
        <v>1</v>
      </c>
      <c r="B7" s="347" t="str">
        <f>IFERROR(VLOOKUP(A7,пр.взв!$B$7:$H$38,2,0),"")</f>
        <v xml:space="preserve">ШИЛОВ  Дмитрий  Андреевич </v>
      </c>
      <c r="C7" s="347" t="str">
        <f>IFERROR(VLOOKUP(A7,пр.взв!$B$7:$H$38,3,0),"")</f>
        <v>05.06.2001, МС</v>
      </c>
      <c r="D7" s="347" t="str">
        <f>IFERROR(VLOOKUP(A7,пр.взв!$B$7:$H$38,5,0),"")</f>
        <v>Москва, МО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47" t="str">
        <f>IFERROR(VLOOKUP(X7,пр.взв!$B$7:$H$38,2,0),"")</f>
        <v>ГОМЛЕШКО Анзор  Алиевич</v>
      </c>
      <c r="V7" s="347" t="str">
        <f>IFERROR(VLOOKUP(X7,пр.взв!$B$7:$H$38,3,0),"")</f>
        <v>02.08.2003, МС</v>
      </c>
      <c r="W7" s="347" t="str">
        <f>IFERROR(VLOOKUP(X7,пр.взв!$B$7:$H$38,5,0),"")</f>
        <v>Р.Адыгея, Майкоп, МО</v>
      </c>
      <c r="X7" s="322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44"/>
      <c r="B8" s="348"/>
      <c r="C8" s="348"/>
      <c r="D8" s="348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48"/>
      <c r="V8" s="348"/>
      <c r="W8" s="348"/>
      <c r="X8" s="320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44">
        <v>17</v>
      </c>
      <c r="B9" s="342" t="str">
        <f>IFERROR(VLOOKUP(A9,пр.взв!$B$7:$H$38,2,0),"")</f>
        <v>МАКАРОВ  Эзен  Радимович</v>
      </c>
      <c r="C9" s="342" t="str">
        <f>IFERROR(VLOOKUP(A9,пр.взв!$B$7:$H$38,3,0),"")</f>
        <v>26.05.2000, МС</v>
      </c>
      <c r="D9" s="342" t="str">
        <f>IFERROR(VLOOKUP(A9,пр.взв!$B$7:$H$38,5,0),"")</f>
        <v>Р.Алтай, Горно-Алтайск, ПР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42" t="str">
        <f>IFERROR(VLOOKUP(X9,пр.взв!$B$7:$H$38,2,0),"")</f>
        <v xml:space="preserve">КУЗНЕЦОВ  Константин Александрович </v>
      </c>
      <c r="V9" s="342" t="str">
        <f>IFERROR(VLOOKUP(X9,пр.взв!$B$7:$H$38,3,0),"")</f>
        <v>27.12.2003, КМС</v>
      </c>
      <c r="W9" s="342" t="str">
        <f>IFERROR(VLOOKUP(X9,пр.взв!$B$7:$H$38,5,0),"")</f>
        <v>Чувашская, Чебоксары, МС</v>
      </c>
      <c r="X9" s="320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45"/>
      <c r="B10" s="343"/>
      <c r="C10" s="343"/>
      <c r="D10" s="343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43"/>
      <c r="V10" s="343"/>
      <c r="W10" s="343"/>
      <c r="X10" s="321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46">
        <v>9</v>
      </c>
      <c r="B11" s="340" t="str">
        <f>IFERROR(VLOOKUP(A11,пр.взв!$B$7:$H$38,2,0),"")</f>
        <v xml:space="preserve">ДИЛМИЕВ  Фирзан  Флюрович </v>
      </c>
      <c r="C11" s="340" t="str">
        <f>IFERROR(VLOOKUP(A11,пр.взв!$B$7:$H$38,3,0),"")</f>
        <v>17.06.2003, КМС</v>
      </c>
      <c r="D11" s="340" t="str">
        <f>IFERROR(VLOOKUP(A11,пр.взв!$B$7:$H$38,5,0),"")</f>
        <v>Чувашская, Чебоксары, МС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40" t="str">
        <f>IFERROR(VLOOKUP(X11,пр.взв!$B$7:$H$38,2,0),"")</f>
        <v>БАКОТИН Илья Максимович</v>
      </c>
      <c r="V11" s="340" t="str">
        <f>IFERROR(VLOOKUP(X11,пр.взв!$B$7:$H$38,3,0),"")</f>
        <v>27.12.2002, кмс</v>
      </c>
      <c r="W11" s="340" t="str">
        <f>IFERROR(VLOOKUP(X11,пр.взв!$B$7:$H$38,5,0),"")</f>
        <v>Московская, Дзержинсий, МО</v>
      </c>
      <c r="X11" s="322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44"/>
      <c r="B12" s="341"/>
      <c r="C12" s="341"/>
      <c r="D12" s="341"/>
      <c r="E12" s="116"/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/>
      <c r="U12" s="341"/>
      <c r="V12" s="341"/>
      <c r="W12" s="341"/>
      <c r="X12" s="320"/>
      <c r="Y12" s="96"/>
      <c r="Z12" s="97"/>
      <c r="AA12" s="94">
        <f>IF(OR(I14=A11,I14=A13)," ",IF(E12=A11,A13,A11))</f>
        <v>9</v>
      </c>
      <c r="AB12" s="95">
        <f>IF(OR(AA11=" ",AA12=" "),AA13,AA12)</f>
        <v>9</v>
      </c>
      <c r="AC12" s="94">
        <f>IF(AND(OR(E8=I14,E12=I14),E16=G18),E20,IF(AND(OR(E8=I14,E12=I14),E20=G18),E16,IF(E8=G10,E12,E8)))</f>
        <v>13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44">
        <v>25</v>
      </c>
      <c r="B13" s="342" t="str">
        <f>IFERROR(VLOOKUP(A13,пр.взв!$B$7:$H$38,2,0),"")</f>
        <v>УСОВ Дмитрий Николаевич</v>
      </c>
      <c r="C13" s="342" t="str">
        <f>IFERROR(VLOOKUP(A13,пр.взв!$B$7:$H$38,3,0),"")</f>
        <v>26.10.1999, МС</v>
      </c>
      <c r="D13" s="342" t="str">
        <f>IFERROR(VLOOKUP(A13,пр.взв!$B$7:$H$38,5,0),"")</f>
        <v>Липецкая, Елец, Д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42" t="str">
        <f>IFERROR(VLOOKUP(X13,пр.взв!$B$7:$H$38,2,0),"")</f>
        <v xml:space="preserve">АГАДЖАНЯН  Ален Ишханович </v>
      </c>
      <c r="V13" s="342" t="str">
        <f>IFERROR(VLOOKUP(X13,пр.взв!$B$7:$H$38,3,0),"")</f>
        <v>07.01.2002, КМС</v>
      </c>
      <c r="W13" s="342" t="str">
        <f>IFERROR(VLOOKUP(X13,пр.взв!$B$7:$H$38,5,0),"")</f>
        <v>Красноярский, Красноярск, МО</v>
      </c>
      <c r="X13" s="320">
        <v>26</v>
      </c>
      <c r="Y13" s="96"/>
      <c r="Z13" s="97"/>
      <c r="AA13" s="94">
        <f>IF(OR(I14=A15,I14=A17)," ",IF(E16=A15,A17,A15))</f>
        <v>5</v>
      </c>
      <c r="AB13" s="95">
        <f>IF(OR(AA11=" ",AA12=" ",AA13=" "),AA14,AA13)</f>
        <v>5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45"/>
      <c r="B14" s="343"/>
      <c r="C14" s="343"/>
      <c r="D14" s="343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43"/>
      <c r="V14" s="343"/>
      <c r="W14" s="343"/>
      <c r="X14" s="321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46">
        <v>5</v>
      </c>
      <c r="B15" s="340" t="str">
        <f>IFERROR(VLOOKUP(A15,пр.взв!$B$7:$H$38,2,0),"")</f>
        <v>ЭМИНОВ Магамед Ширинович</v>
      </c>
      <c r="C15" s="340" t="str">
        <f>IFERROR(VLOOKUP(A15,пр.взв!$B$7:$H$38,3,0),"")</f>
        <v>02.07.2000, МС</v>
      </c>
      <c r="D15" s="340" t="str">
        <f>IFERROR(VLOOKUP(A15,пр.взв!$B$7:$H$38,5,0),"")</f>
        <v>Костромская, Кострома, ВС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40" t="str">
        <f>IFERROR(VLOOKUP(X15,пр.взв!$B$7:$H$38,2,0),"")</f>
        <v>МАМЕДОВ Камран Кямилевич</v>
      </c>
      <c r="V15" s="340" t="str">
        <f>IFERROR(VLOOKUP(X15,пр.взв!$B$7:$H$38,3,0),"")</f>
        <v>07.04.1999, МС</v>
      </c>
      <c r="W15" s="340" t="str">
        <f>IFERROR(VLOOKUP(X15,пр.взв!$B$7:$H$38,5,0),"")</f>
        <v>Москва, Москва, МО</v>
      </c>
      <c r="X15" s="322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44"/>
      <c r="B16" s="341"/>
      <c r="C16" s="341"/>
      <c r="D16" s="341"/>
      <c r="E16" s="116"/>
      <c r="F16" s="117"/>
      <c r="G16" s="117"/>
      <c r="H16" s="125"/>
      <c r="I16" s="97"/>
      <c r="J16" s="104"/>
      <c r="K16" s="143"/>
      <c r="L16" s="339" t="s">
        <v>45</v>
      </c>
      <c r="M16" s="339"/>
      <c r="N16" s="104"/>
      <c r="O16" s="144"/>
      <c r="P16" s="97"/>
      <c r="Q16" s="143"/>
      <c r="R16" s="96"/>
      <c r="S16" s="96"/>
      <c r="T16" s="116"/>
      <c r="U16" s="341"/>
      <c r="V16" s="341"/>
      <c r="W16" s="341"/>
      <c r="X16" s="320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44">
        <v>21</v>
      </c>
      <c r="B17" s="342" t="str">
        <f>IFERROR(VLOOKUP(A17,пр.взв!$B$7:$H$38,2,0),"")</f>
        <v xml:space="preserve">ТЛИШЕВ  Харун  Аминович </v>
      </c>
      <c r="C17" s="342" t="str">
        <f>IFERROR(VLOOKUP(A17,пр.взв!$B$7:$H$38,3,0),"")</f>
        <v>15.11.1999, МСМК</v>
      </c>
      <c r="D17" s="342" t="str">
        <f>IFERROR(VLOOKUP(A17,пр.взв!$B$7:$H$38,5,0),"")</f>
        <v>Краснодарский, Армавир, ВС</v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342" t="str">
        <f>IFERROR(VLOOKUP(X17,пр.взв!$B$7:$H$38,2,0),"")</f>
        <v xml:space="preserve">ПЕТРОВ  Глеб  Владимирович </v>
      </c>
      <c r="V17" s="342" t="str">
        <f>IFERROR(VLOOKUP(X17,пр.взв!$B$7:$H$38,3,0),"")</f>
        <v>22.05.2002, МС</v>
      </c>
      <c r="W17" s="342" t="str">
        <f>IFERROR(VLOOKUP(X17,пр.взв!$B$7:$H$38,5,0),"")</f>
        <v>Тульская, Тула</v>
      </c>
      <c r="X17" s="320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15</v>
      </c>
      <c r="AD17" s="92">
        <f>IF(M7=N9,M11,M7)</f>
        <v>0</v>
      </c>
      <c r="AE17" s="92"/>
    </row>
    <row r="18" spans="1:31" ht="12.75" customHeight="1" thickBot="1">
      <c r="A18" s="345"/>
      <c r="B18" s="343"/>
      <c r="C18" s="343"/>
      <c r="D18" s="343"/>
      <c r="E18" s="117"/>
      <c r="F18" s="128"/>
      <c r="G18" s="116"/>
      <c r="H18" s="111"/>
      <c r="I18" s="104"/>
      <c r="J18" s="104"/>
      <c r="K18" s="359" t="str">
        <f>IFERROR(VLOOKUP(K17,пр.взв!$B$7:$H$38,2,0),"")</f>
        <v/>
      </c>
      <c r="L18" s="360"/>
      <c r="M18" s="360"/>
      <c r="N18" s="361"/>
      <c r="O18" s="114"/>
      <c r="P18" s="104"/>
      <c r="Q18" s="147"/>
      <c r="R18" s="116"/>
      <c r="S18" s="104"/>
      <c r="T18" s="117"/>
      <c r="U18" s="343"/>
      <c r="V18" s="343"/>
      <c r="W18" s="343"/>
      <c r="X18" s="321"/>
      <c r="Y18" s="96"/>
      <c r="Z18" s="97"/>
      <c r="AA18" s="94">
        <f>IF(OR(I$30=A31,I$30=A33)," ",IF(E32=A31,A33,A31))</f>
        <v>7</v>
      </c>
      <c r="AB18" s="95">
        <f>IF(OR(AA16=" ",AA17=" ",AA18=" "),AA19,AA18)</f>
        <v>7</v>
      </c>
      <c r="AC18" s="92"/>
      <c r="AD18" s="92">
        <f>IF(M35=N37,M39,M35)</f>
        <v>0</v>
      </c>
      <c r="AE18" s="92"/>
    </row>
    <row r="19" spans="1:31" ht="12.75" customHeight="1" thickBot="1">
      <c r="A19" s="346">
        <v>13</v>
      </c>
      <c r="B19" s="340" t="str">
        <f>IFERROR(VLOOKUP(A19,пр.взв!$B$7:$H$38,2,0),"")</f>
        <v>МАКСИМОВ Роман Влексеевич</v>
      </c>
      <c r="C19" s="340" t="str">
        <f>IFERROR(VLOOKUP(A19,пр.взв!$B$7:$H$38,3,0),"")</f>
        <v>27.04.2001, КМС</v>
      </c>
      <c r="D19" s="340" t="str">
        <f>IFERROR(VLOOKUP(A19,пр.взв!$B$7:$H$38,5,0),"")</f>
        <v>Р. Татарстан, Казань</v>
      </c>
      <c r="E19" s="96"/>
      <c r="F19" s="117"/>
      <c r="G19" s="123"/>
      <c r="H19" s="120"/>
      <c r="I19" s="104"/>
      <c r="J19" s="104"/>
      <c r="K19" s="362"/>
      <c r="L19" s="363"/>
      <c r="M19" s="363"/>
      <c r="N19" s="364"/>
      <c r="O19" s="114"/>
      <c r="P19" s="104"/>
      <c r="Q19" s="104"/>
      <c r="R19" s="123"/>
      <c r="S19" s="104"/>
      <c r="T19" s="96"/>
      <c r="U19" s="340" t="str">
        <f>IFERROR(VLOOKUP(X19,пр.взв!$B$7:$H$38,2,0),"")</f>
        <v>ПЕРЕПЕЛИЦЫН Даниил Андреевич</v>
      </c>
      <c r="V19" s="340" t="str">
        <f>IFERROR(VLOOKUP(X19,пр.взв!$B$7:$H$38,3,0),"")</f>
        <v>23.02.2002, МС</v>
      </c>
      <c r="W19" s="340" t="str">
        <f>IFERROR(VLOOKUP(X19,пр.взв!$B$7:$H$38,5,0),"")</f>
        <v>Ростовская, Ростов-на-Дону</v>
      </c>
      <c r="X19" s="322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44"/>
      <c r="B20" s="341"/>
      <c r="C20" s="341"/>
      <c r="D20" s="341"/>
      <c r="E20" s="116">
        <v>13</v>
      </c>
      <c r="F20" s="135"/>
      <c r="G20" s="117"/>
      <c r="H20" s="119"/>
      <c r="I20" s="148"/>
      <c r="J20" s="104"/>
      <c r="K20" s="143"/>
      <c r="L20" s="357"/>
      <c r="M20" s="358"/>
      <c r="N20" s="114"/>
      <c r="O20" s="139"/>
      <c r="P20" s="104"/>
      <c r="Q20" s="96"/>
      <c r="R20" s="140"/>
      <c r="S20" s="141"/>
      <c r="T20" s="116">
        <v>14</v>
      </c>
      <c r="U20" s="341"/>
      <c r="V20" s="341"/>
      <c r="W20" s="341"/>
      <c r="X20" s="320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44">
        <v>29</v>
      </c>
      <c r="B21" s="349">
        <f>IFERROR(VLOOKUP(A21,пр.взв!$B$7:$H$38,2,0),"")</f>
        <v>0</v>
      </c>
      <c r="C21" s="349">
        <f>IFERROR(VLOOKUP(A21,пр.взв!$B$7:$H$38,3,0),"")</f>
        <v>0</v>
      </c>
      <c r="D21" s="349">
        <f>IFERROR(VLOOKUP(A21,пр.взв!$B$7:$H$38,5,0),"")</f>
        <v>0</v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49">
        <f>IFERROR(VLOOKUP(X21,пр.взв!$B$7:$H$38,2,0),"")</f>
        <v>0</v>
      </c>
      <c r="V21" s="349">
        <f>IFERROR(VLOOKUP(X21,пр.взв!$B$7:$H$38,3,0),"")</f>
        <v>0</v>
      </c>
      <c r="W21" s="349">
        <f>IFERROR(VLOOKUP(X21,пр.взв!$B$7:$H$38,5,0),"")</f>
        <v>0</v>
      </c>
      <c r="X21" s="320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45"/>
      <c r="B22" s="350"/>
      <c r="C22" s="350"/>
      <c r="D22" s="350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50"/>
      <c r="V22" s="350"/>
      <c r="W22" s="350"/>
      <c r="X22" s="321"/>
      <c r="Y22" s="96"/>
      <c r="Z22" s="97"/>
      <c r="AA22" s="94">
        <f>IF(OR(P14=X11,P14=X13)," ",IF(T12=X11,X13,X11))</f>
        <v>10</v>
      </c>
      <c r="AB22" s="95">
        <f>IF(OR(AA21=" ",AA22=" "),AA23,AA22)</f>
        <v>10</v>
      </c>
      <c r="AC22" s="94">
        <f>IF(AND(OR(T8=P14,T12=P14),T16=R18),T20,IF(AND(OR(T8=P14,T12=P14),T20=R18),T16,IF(T8=R10,T12,T8)))</f>
        <v>14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46">
        <v>3</v>
      </c>
      <c r="B23" s="340" t="str">
        <f>IFERROR(VLOOKUP(A23,пр.взв!$B$7:$H$38,2,0),"")</f>
        <v>КОРОБКОВ Григорий Георгиевич</v>
      </c>
      <c r="C23" s="340" t="str">
        <f>IFERROR(VLOOKUP(A23,пр.взв!$B$7:$H$38,3,0),"")</f>
        <v>26.07.2003, КМС</v>
      </c>
      <c r="D23" s="340" t="str">
        <f>IFERROR(VLOOKUP(A23,пр.взв!$B$7:$H$38,5,0),"")</f>
        <v>Санкт-Петербург, МО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40" t="str">
        <f>IFERROR(VLOOKUP(X23,пр.взв!$B$7:$H$38,2,0),"")</f>
        <v>ЛУКЬЯНЧУК Николай Александрович</v>
      </c>
      <c r="V23" s="340" t="str">
        <f>IFERROR(VLOOKUP(X23,пр.взв!$B$7:$H$38,3,0),"")</f>
        <v>23.01.2001, МС</v>
      </c>
      <c r="W23" s="340" t="str">
        <f>IFERROR(VLOOKUP(X23,пр.взв!$B$7:$H$38,5,0),"")</f>
        <v>ХМАО-Югра, Нижневартовск, ВС</v>
      </c>
      <c r="X23" s="322">
        <v>4</v>
      </c>
      <c r="Y23" s="96"/>
      <c r="Z23" s="97"/>
      <c r="AA23" s="94">
        <f>IF(OR(P14=X15,P14=X17)," ",IF(T16=X15,X17,X15))</f>
        <v>6</v>
      </c>
      <c r="AB23" s="95">
        <f>IF(OR(AA21=" ",AA22=" ",AA23=" "),AA24,AA23)</f>
        <v>6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44"/>
      <c r="B24" s="341"/>
      <c r="C24" s="341"/>
      <c r="D24" s="341"/>
      <c r="E24" s="116"/>
      <c r="F24" s="117"/>
      <c r="G24" s="118"/>
      <c r="H24" s="119"/>
      <c r="I24" s="129"/>
      <c r="J24" s="106"/>
      <c r="K24" s="152"/>
      <c r="L24" s="339" t="s">
        <v>25</v>
      </c>
      <c r="M24" s="339"/>
      <c r="N24" s="114"/>
      <c r="O24" s="139"/>
      <c r="P24" s="104"/>
      <c r="Q24" s="96"/>
      <c r="R24" s="96"/>
      <c r="S24" s="96"/>
      <c r="T24" s="116"/>
      <c r="U24" s="341"/>
      <c r="V24" s="341"/>
      <c r="W24" s="341"/>
      <c r="X24" s="320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44">
        <v>19</v>
      </c>
      <c r="B25" s="342" t="str">
        <f>IFERROR(VLOOKUP(A25,пр.взв!$B$7:$H$38,2,0),"")</f>
        <v xml:space="preserve">ОНИЩЕНКО  Андрей  Антониевич </v>
      </c>
      <c r="C25" s="342" t="str">
        <f>IFERROR(VLOOKUP(A25,пр.взв!$B$7:$H$38,3,0),"")</f>
        <v>07.02.2001, МС</v>
      </c>
      <c r="D25" s="342" t="str">
        <f>IFERROR(VLOOKUP(A25,пр.взв!$B$7:$H$38,5,0),"")</f>
        <v>Иркутская, Усть-Илимск, МО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42" t="str">
        <f>IFERROR(VLOOKUP(X25,пр.взв!$B$7:$H$38,2,0),"")</f>
        <v>ГАДЖИЕВ Завир Агавердиевич</v>
      </c>
      <c r="V25" s="342" t="str">
        <f>IFERROR(VLOOKUP(X25,пр.взв!$B$7:$H$38,3,0),"")</f>
        <v>27.11.2003, КМС</v>
      </c>
      <c r="W25" s="342" t="str">
        <f>IFERROR(VLOOKUP(X25,пр.взв!$B$7:$H$38,5,0),"")</f>
        <v>Р.Дагестан, Каспийск, ПР</v>
      </c>
      <c r="X25" s="320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45"/>
      <c r="B26" s="343"/>
      <c r="C26" s="343"/>
      <c r="D26" s="343"/>
      <c r="E26" s="117"/>
      <c r="F26" s="128"/>
      <c r="G26" s="116"/>
      <c r="H26" s="106"/>
      <c r="I26" s="113"/>
      <c r="J26" s="154"/>
      <c r="K26" s="351" t="str">
        <f>IFERROR(VLOOKUP(K25,пр.взв!$B$7:$H$38,2,0),"")</f>
        <v/>
      </c>
      <c r="L26" s="352"/>
      <c r="M26" s="352"/>
      <c r="N26" s="353"/>
      <c r="O26" s="114"/>
      <c r="P26" s="104"/>
      <c r="Q26" s="96"/>
      <c r="R26" s="116"/>
      <c r="S26" s="104"/>
      <c r="T26" s="117"/>
      <c r="U26" s="343"/>
      <c r="V26" s="343"/>
      <c r="W26" s="343"/>
      <c r="X26" s="321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46">
        <v>11</v>
      </c>
      <c r="B27" s="340" t="str">
        <f>IFERROR(VLOOKUP(A27,пр.взв!$B$7:$H$38,2,0),"")</f>
        <v>ЛУКАШИН  Игорь Павлович</v>
      </c>
      <c r="C27" s="340" t="str">
        <f>IFERROR(VLOOKUP(A27,пр.взв!$B$7:$H$38,3,0),"")</f>
        <v>11.03.2001, МС</v>
      </c>
      <c r="D27" s="340" t="str">
        <f>IFERROR(VLOOKUP(A27,пр.взв!$B$7:$H$38,5,0),"")</f>
        <v>Москва, ВС</v>
      </c>
      <c r="E27" s="96"/>
      <c r="F27" s="117"/>
      <c r="G27" s="123"/>
      <c r="H27" s="131"/>
      <c r="I27" s="132"/>
      <c r="J27" s="154"/>
      <c r="K27" s="354"/>
      <c r="L27" s="355"/>
      <c r="M27" s="355"/>
      <c r="N27" s="356"/>
      <c r="O27" s="114"/>
      <c r="P27" s="130"/>
      <c r="Q27" s="127"/>
      <c r="R27" s="123"/>
      <c r="S27" s="104"/>
      <c r="T27" s="96"/>
      <c r="U27" s="340" t="str">
        <f>IFERROR(VLOOKUP(X27,пр.взв!$B$7:$H$38,2,0),"")</f>
        <v xml:space="preserve">БУШУЕВ  Никита Александрович </v>
      </c>
      <c r="V27" s="340" t="str">
        <f>IFERROR(VLOOKUP(X27,пр.взв!$B$7:$H$38,3,0),"")</f>
        <v>24.07.2003, КМС</v>
      </c>
      <c r="W27" s="340" t="str">
        <f>IFERROR(VLOOKUP(X27,пр.взв!$B$7:$H$38,5,0),"")</f>
        <v>Нижегородская, Нижний Новгород, ЦСКА</v>
      </c>
      <c r="X27" s="322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16</v>
      </c>
      <c r="AD27" s="92"/>
      <c r="AE27" s="92"/>
    </row>
    <row r="28" spans="1:31" ht="12.75" customHeight="1">
      <c r="A28" s="344"/>
      <c r="B28" s="341"/>
      <c r="C28" s="341"/>
      <c r="D28" s="341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41"/>
      <c r="V28" s="341"/>
      <c r="W28" s="341"/>
      <c r="X28" s="320"/>
      <c r="Y28" s="96"/>
      <c r="Z28" s="97"/>
      <c r="AA28" s="94">
        <f>IF(OR(P30=X31,P30=X33)," ",IF(T32=X31,X33,X31))</f>
        <v>8</v>
      </c>
      <c r="AB28" s="95">
        <f>IF(OR(AA26=" ",AA27=" ",AA28=" "),AA29,AA28)</f>
        <v>8</v>
      </c>
      <c r="AC28" s="92"/>
      <c r="AD28" s="92"/>
      <c r="AE28" s="92"/>
    </row>
    <row r="29" spans="1:31" ht="12.75" customHeight="1" thickBot="1">
      <c r="A29" s="344">
        <v>27</v>
      </c>
      <c r="B29" s="349">
        <f>IFERROR(VLOOKUP(A29,пр.взв!$B$7:$H$38,2,0),"")</f>
        <v>0</v>
      </c>
      <c r="C29" s="349">
        <f>IFERROR(VLOOKUP(A29,пр.взв!$B$7:$H$38,3,0),"")</f>
        <v>0</v>
      </c>
      <c r="D29" s="349">
        <f>IFERROR(VLOOKUP(A29,пр.взв!$B$7:$H$38,5,0),"")</f>
        <v>0</v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49">
        <f>IFERROR(VLOOKUP(X29,пр.взв!$B$7:$H$38,2,0),"")</f>
        <v>0</v>
      </c>
      <c r="V29" s="349">
        <f>IFERROR(VLOOKUP(X29,пр.взв!$B$7:$H$38,3,0),"")</f>
        <v>0</v>
      </c>
      <c r="W29" s="349">
        <f>IFERROR(VLOOKUP(X29,пр.взв!$B$7:$H$38,5,0),"")</f>
        <v>0</v>
      </c>
      <c r="X29" s="320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45"/>
      <c r="B30" s="350"/>
      <c r="C30" s="350"/>
      <c r="D30" s="350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50"/>
      <c r="V30" s="350"/>
      <c r="W30" s="350"/>
      <c r="X30" s="321"/>
      <c r="Y30" s="96"/>
      <c r="Z30" s="97"/>
    </row>
    <row r="31" spans="1:31" ht="12.75" customHeight="1" thickBot="1">
      <c r="A31" s="346">
        <v>7</v>
      </c>
      <c r="B31" s="340" t="str">
        <f>IFERROR(VLOOKUP(A31,пр.взв!$B$7:$H$38,2,0),"")</f>
        <v xml:space="preserve">ИВАНОВ Павел Владимирович </v>
      </c>
      <c r="C31" s="340" t="str">
        <f>IFERROR(VLOOKUP(A31,пр.взв!$B$7:$H$38,3,0),"")</f>
        <v>19.05.2003, КМС</v>
      </c>
      <c r="D31" s="340" t="str">
        <f>IFERROR(VLOOKUP(A31,пр.взв!$B$7:$H$38,5,0),"")</f>
        <v>Чувашская, Чебоксары, МС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40" t="str">
        <f>IFERROR(VLOOKUP(X31,пр.взв!$B$7:$H$38,2,0),"")</f>
        <v>УЛЬЯНОВ Федор  Александрович</v>
      </c>
      <c r="V31" s="340" t="str">
        <f>IFERROR(VLOOKUP(X31,пр.взв!$B$7:$H$38,3,0),"")</f>
        <v>27.02.2002, КМС</v>
      </c>
      <c r="W31" s="340" t="str">
        <f>IFERROR(VLOOKUP(X31,пр.взв!$B$7:$H$38,5,0),"")</f>
        <v>Москва, Москва, ВС</v>
      </c>
      <c r="X31" s="322">
        <v>8</v>
      </c>
      <c r="Y31" s="96"/>
      <c r="Z31" s="97"/>
    </row>
    <row r="32" spans="1:31" ht="12.75" customHeight="1">
      <c r="A32" s="344"/>
      <c r="B32" s="341"/>
      <c r="C32" s="341"/>
      <c r="D32" s="341"/>
      <c r="E32" s="116"/>
      <c r="F32" s="117"/>
      <c r="G32" s="117"/>
      <c r="H32" s="125"/>
      <c r="I32" s="97"/>
      <c r="J32" s="329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/>
      <c r="U32" s="341"/>
      <c r="V32" s="341"/>
      <c r="W32" s="341"/>
      <c r="X32" s="320"/>
      <c r="Y32" s="96"/>
      <c r="Z32" s="97"/>
    </row>
    <row r="33" spans="1:43" ht="12.75" customHeight="1" thickBot="1">
      <c r="A33" s="344">
        <v>23</v>
      </c>
      <c r="B33" s="342" t="str">
        <f>IFERROR(VLOOKUP(A33,пр.взв!$B$7:$H$38,2,0),"")</f>
        <v>ЛАЗУКИН Александр Валерьевич</v>
      </c>
      <c r="C33" s="342" t="str">
        <f>IFERROR(VLOOKUP(A33,пр.взв!$B$7:$H$38,3,0),"")</f>
        <v>31.10.2002, КМС</v>
      </c>
      <c r="D33" s="342" t="str">
        <f>IFERROR(VLOOKUP(A33,пр.взв!$B$7:$H$38,5,0),"")</f>
        <v>Краснодарский, Армавир, ЦСКА</v>
      </c>
      <c r="E33" s="123"/>
      <c r="F33" s="124"/>
      <c r="G33" s="117"/>
      <c r="H33" s="145"/>
      <c r="I33" s="104"/>
      <c r="J33" s="329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42" t="str">
        <f>IFERROR(VLOOKUP(X33,пр.взв!$B$7:$H$38,2,0),"")</f>
        <v>САПРЫКИН Владислав Николаевич</v>
      </c>
      <c r="V33" s="342" t="str">
        <f>IFERROR(VLOOKUP(X33,пр.взв!$B$7:$H$38,3,0),"")</f>
        <v>25.10.2003, КМС</v>
      </c>
      <c r="W33" s="342" t="str">
        <f>IFERROR(VLOOKUP(X33,пр.взв!$B$7:$H$38,5,0),"")</f>
        <v>Костромская, Кострома, ВС</v>
      </c>
      <c r="X33" s="320">
        <v>24</v>
      </c>
      <c r="Y33" s="96"/>
      <c r="Z33" s="97"/>
    </row>
    <row r="34" spans="1:43" ht="12.75" customHeight="1" thickBot="1">
      <c r="A34" s="345"/>
      <c r="B34" s="343"/>
      <c r="C34" s="343"/>
      <c r="D34" s="343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43"/>
      <c r="V34" s="343"/>
      <c r="W34" s="343"/>
      <c r="X34" s="321"/>
      <c r="Y34" s="96"/>
      <c r="Z34" s="97"/>
    </row>
    <row r="35" spans="1:43" ht="12.75" customHeight="1" thickBot="1">
      <c r="A35" s="346">
        <v>15</v>
      </c>
      <c r="B35" s="340" t="str">
        <f>IFERROR(VLOOKUP(A35,пр.взв!$B$7:$H$38,2,0),"")</f>
        <v>СВИНЧУКОВ  Александр Павлович</v>
      </c>
      <c r="C35" s="340" t="str">
        <f>IFERROR(VLOOKUP(A35,пр.взв!$B$7:$H$38,3,0),"")</f>
        <v>04.02.2003, КМС</v>
      </c>
      <c r="D35" s="340" t="str">
        <f>IFERROR(VLOOKUP(A35,пр.взв!$B$7:$H$38,5,0),"")</f>
        <v>Брянская, Брянск, ЮР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40" t="str">
        <f>IFERROR(VLOOKUP(X35,пр.взв!$B$7:$H$38,2,0),"")</f>
        <v xml:space="preserve">ПАСТЕРНАК  Денис Иванович </v>
      </c>
      <c r="V35" s="340" t="str">
        <f>IFERROR(VLOOKUP(X35,пр.взв!$B$7:$H$38,3,0),"")</f>
        <v>16.02.1999, МС</v>
      </c>
      <c r="W35" s="340" t="str">
        <f>IFERROR(VLOOKUP(X35,пр.взв!$B$7:$H$38,5,0),"")</f>
        <v>Краснодарский, Курганинск, ВС</v>
      </c>
      <c r="X35" s="322">
        <v>16</v>
      </c>
      <c r="Y35" s="96"/>
      <c r="Z35" s="97"/>
    </row>
    <row r="36" spans="1:43" ht="12.75" customHeight="1">
      <c r="A36" s="344"/>
      <c r="B36" s="341"/>
      <c r="C36" s="341"/>
      <c r="D36" s="341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41"/>
      <c r="V36" s="341"/>
      <c r="W36" s="341"/>
      <c r="X36" s="320"/>
      <c r="Y36" s="96"/>
      <c r="Z36" s="97"/>
    </row>
    <row r="37" spans="1:43" ht="12.75" customHeight="1" thickBot="1">
      <c r="A37" s="344">
        <v>31</v>
      </c>
      <c r="B37" s="349">
        <f>IFERROR(VLOOKUP(A37,пр.взв!$B$7:$H$38,2,0),"")</f>
        <v>0</v>
      </c>
      <c r="C37" s="349">
        <f>IFERROR(VLOOKUP(A37,пр.взв!$B$7:$H$38,3,0),"")</f>
        <v>0</v>
      </c>
      <c r="D37" s="349">
        <f>IFERROR(VLOOKUP(A37,пр.взв!$B$7:$H$38,5,0),"")</f>
        <v>0</v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49">
        <f>IFERROR(VLOOKUP(X37,пр.взв!$B$7:$H$38,2,0),"")</f>
        <v>0</v>
      </c>
      <c r="V37" s="349">
        <f>IFERROR(VLOOKUP(X37,пр.взв!$B$7:$H$38,3,0),"")</f>
        <v>0</v>
      </c>
      <c r="W37" s="349">
        <f>IFERROR(VLOOKUP(X37,пр.взв!$B$7:$H$38,5,0),"")</f>
        <v>0</v>
      </c>
      <c r="X37" s="320">
        <v>32</v>
      </c>
      <c r="Y37" s="96"/>
      <c r="Z37" s="97"/>
    </row>
    <row r="38" spans="1:43" ht="12.75" customHeight="1" thickBot="1">
      <c r="A38" s="345"/>
      <c r="B38" s="350"/>
      <c r="C38" s="350"/>
      <c r="D38" s="350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50"/>
      <c r="V38" s="350"/>
      <c r="W38" s="350"/>
      <c r="X38" s="321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С.В.Пегасов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1" t="str">
        <f>IFERROR(VLOOKUP(P39,пр.взв!$B$7:$H$38,2,0),"")</f>
        <v/>
      </c>
      <c r="R40" s="332"/>
      <c r="S40" s="332"/>
      <c r="T40" s="333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/г.Чебоксары/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4"/>
      <c r="R41" s="335"/>
      <c r="S41" s="335"/>
      <c r="T41" s="336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М.Р. Шарифзянов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108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16" t="s">
        <v>38</v>
      </c>
      <c r="C1" s="416"/>
      <c r="D1" s="416"/>
      <c r="E1" s="416"/>
      <c r="F1" s="416"/>
      <c r="G1" s="416"/>
      <c r="H1" s="416"/>
      <c r="I1" s="416"/>
      <c r="J1" s="416"/>
      <c r="L1" s="416" t="s">
        <v>38</v>
      </c>
      <c r="M1" s="416"/>
      <c r="N1" s="416"/>
      <c r="O1" s="416"/>
      <c r="P1" s="416"/>
      <c r="Q1" s="416"/>
      <c r="R1" s="416"/>
      <c r="S1" s="416"/>
      <c r="T1" s="416"/>
    </row>
    <row r="2" spans="1:20" ht="15.75" customHeight="1">
      <c r="B2" s="288">
        <v>0</v>
      </c>
      <c r="C2" s="289" t="s">
        <v>111</v>
      </c>
      <c r="D2" s="289"/>
      <c r="E2" s="370" t="str">
        <f>пр.взв!D4</f>
        <v>В.к.58  кг.</v>
      </c>
      <c r="F2" s="370"/>
      <c r="G2" s="289"/>
      <c r="H2" s="289"/>
      <c r="I2" s="289"/>
      <c r="J2" s="289"/>
      <c r="L2" s="288">
        <f>B2</f>
        <v>0</v>
      </c>
      <c r="M2" s="289" t="s">
        <v>111</v>
      </c>
      <c r="N2" s="289"/>
      <c r="O2" s="370" t="str">
        <f>E2</f>
        <v>В.к.58  кг.</v>
      </c>
      <c r="P2" s="370"/>
      <c r="Q2" s="289"/>
      <c r="R2" s="289"/>
      <c r="S2" s="289"/>
      <c r="T2" s="289"/>
    </row>
    <row r="3" spans="1:20" ht="18.75" thickBot="1">
      <c r="B3" s="290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372" t="s">
        <v>40</v>
      </c>
      <c r="B4" s="374" t="s">
        <v>4</v>
      </c>
      <c r="C4" s="376" t="s">
        <v>5</v>
      </c>
      <c r="D4" s="378" t="s">
        <v>14</v>
      </c>
      <c r="E4" s="380" t="s">
        <v>15</v>
      </c>
      <c r="F4" s="381"/>
      <c r="G4" s="376" t="s">
        <v>16</v>
      </c>
      <c r="H4" s="384" t="s">
        <v>41</v>
      </c>
      <c r="I4" s="386" t="s">
        <v>17</v>
      </c>
      <c r="J4" s="388" t="s">
        <v>18</v>
      </c>
      <c r="K4" s="372" t="s">
        <v>40</v>
      </c>
      <c r="L4" s="374" t="s">
        <v>4</v>
      </c>
      <c r="M4" s="376" t="s">
        <v>5</v>
      </c>
      <c r="N4" s="378" t="s">
        <v>14</v>
      </c>
      <c r="O4" s="380" t="s">
        <v>15</v>
      </c>
      <c r="P4" s="381"/>
      <c r="Q4" s="376" t="s">
        <v>16</v>
      </c>
      <c r="R4" s="384" t="s">
        <v>41</v>
      </c>
      <c r="S4" s="386" t="s">
        <v>17</v>
      </c>
      <c r="T4" s="388" t="s">
        <v>18</v>
      </c>
    </row>
    <row r="5" spans="1:20" ht="13.5" customHeight="1" thickBot="1">
      <c r="A5" s="373"/>
      <c r="B5" s="417" t="s">
        <v>34</v>
      </c>
      <c r="C5" s="377"/>
      <c r="D5" s="379"/>
      <c r="E5" s="382"/>
      <c r="F5" s="383"/>
      <c r="G5" s="377"/>
      <c r="H5" s="385"/>
      <c r="I5" s="387"/>
      <c r="J5" s="389" t="s">
        <v>35</v>
      </c>
      <c r="K5" s="373"/>
      <c r="L5" s="417" t="s">
        <v>34</v>
      </c>
      <c r="M5" s="377"/>
      <c r="N5" s="379"/>
      <c r="O5" s="382"/>
      <c r="P5" s="383"/>
      <c r="Q5" s="377"/>
      <c r="R5" s="385"/>
      <c r="S5" s="387"/>
      <c r="T5" s="389" t="s">
        <v>35</v>
      </c>
    </row>
    <row r="6" spans="1:20" ht="12.75" customHeight="1">
      <c r="A6" s="418">
        <v>1</v>
      </c>
      <c r="B6" s="421">
        <v>1</v>
      </c>
      <c r="C6" s="423" t="str">
        <f>IFERROR(VLOOKUP(B6,пр.взв!$B$7:$H$38,2,0),"")</f>
        <v xml:space="preserve">ШИЛОВ  Дмитрий  Андреевич </v>
      </c>
      <c r="D6" s="425" t="str">
        <f>IFERROR(VLOOKUP(B6,пр.взв!$B$7:$H$38,3,0),"")</f>
        <v>05.06.2001, МС</v>
      </c>
      <c r="E6" s="396" t="str">
        <f>IFERROR(VLOOKUP(B6,пр.взв!$B$7:$H$38,4,0),"")</f>
        <v>МОС</v>
      </c>
      <c r="F6" s="396" t="str">
        <f>IFERROR(VLOOKUP(B6,пр.взв!$B$7:$H$38,5,0),"")</f>
        <v>Москва, МО</v>
      </c>
      <c r="G6" s="400"/>
      <c r="H6" s="402"/>
      <c r="I6" s="405"/>
      <c r="J6" s="407"/>
      <c r="K6" s="426">
        <v>9</v>
      </c>
      <c r="L6" s="421">
        <v>2</v>
      </c>
      <c r="M6" s="423" t="str">
        <f>IFERROR(VLOOKUP(L6,пр.взв!$B$7:$H$38,2,0),"")</f>
        <v>ГОМЛЕШКО Анзор  Алиевич</v>
      </c>
      <c r="N6" s="425" t="str">
        <f>IFERROR(VLOOKUP(L6,пр.взв!$B$7:$H$38,3,0),"")</f>
        <v>02.08.2003, МС</v>
      </c>
      <c r="O6" s="396" t="str">
        <f>IFERROR(VLOOKUP(L6,пр.взв!$B$7:$H$38,4,0),"")</f>
        <v>ЮФО</v>
      </c>
      <c r="P6" s="396" t="str">
        <f>IFERROR(VLOOKUP(L6,пр.взв!$B$7:$H$38,5,0),"")</f>
        <v>Р.Адыгея, Майкоп, МО</v>
      </c>
      <c r="Q6" s="400"/>
      <c r="R6" s="402"/>
      <c r="S6" s="405"/>
      <c r="T6" s="407"/>
    </row>
    <row r="7" spans="1:20" ht="12.6" customHeight="1">
      <c r="A7" s="419"/>
      <c r="B7" s="422"/>
      <c r="C7" s="424"/>
      <c r="D7" s="401"/>
      <c r="E7" s="397"/>
      <c r="F7" s="397"/>
      <c r="G7" s="401"/>
      <c r="H7" s="401"/>
      <c r="I7" s="406"/>
      <c r="J7" s="408"/>
      <c r="K7" s="427"/>
      <c r="L7" s="422"/>
      <c r="M7" s="424"/>
      <c r="N7" s="401"/>
      <c r="O7" s="397"/>
      <c r="P7" s="397"/>
      <c r="Q7" s="401"/>
      <c r="R7" s="401"/>
      <c r="S7" s="406"/>
      <c r="T7" s="408"/>
    </row>
    <row r="8" spans="1:20" ht="12.75" customHeight="1">
      <c r="A8" s="419"/>
      <c r="B8" s="409">
        <v>17</v>
      </c>
      <c r="C8" s="411" t="str">
        <f>IFERROR(VLOOKUP(B8,пр.взв!$B$7:$H$38,2,0),"")</f>
        <v>МАКАРОВ  Эзен  Радимович</v>
      </c>
      <c r="D8" s="398" t="str">
        <f>IFERROR(VLOOKUP(B8,пр.взв!$B$7:$H$38,3,0),"")</f>
        <v>26.05.2000, МС</v>
      </c>
      <c r="E8" s="398" t="str">
        <f>IFERROR(VLOOKUP(B8,пр.взв!$B$7:$H$38,4,0),"")</f>
        <v>СФО</v>
      </c>
      <c r="F8" s="398" t="str">
        <f>IFERROR(VLOOKUP(B8,пр.взв!$B$7:$H$38,5,0),"")</f>
        <v>Р.Алтай, Горно-Алтайск, ПР</v>
      </c>
      <c r="G8" s="403"/>
      <c r="H8" s="403"/>
      <c r="I8" s="304"/>
      <c r="J8" s="414"/>
      <c r="K8" s="427"/>
      <c r="L8" s="409">
        <v>18</v>
      </c>
      <c r="M8" s="411" t="str">
        <f>IFERROR(VLOOKUP(L8,пр.взв!$B$7:$H$38,2,0),"")</f>
        <v xml:space="preserve">КУЗНЕЦОВ  Константин Александрович </v>
      </c>
      <c r="N8" s="398" t="str">
        <f>IFERROR(VLOOKUP(L8,пр.взв!$B$7:$H$38,3,0),"")</f>
        <v>27.12.2003, КМС</v>
      </c>
      <c r="O8" s="398" t="str">
        <f>IFERROR(VLOOKUP(L8,пр.взв!$B$7:$H$38,4,0),"")</f>
        <v>ПФО</v>
      </c>
      <c r="P8" s="398" t="str">
        <f>IFERROR(VLOOKUP(L8,пр.взв!$B$7:$H$38,5,0),"")</f>
        <v>Чувашская, Чебоксары, МС</v>
      </c>
      <c r="Q8" s="403"/>
      <c r="R8" s="403"/>
      <c r="S8" s="304"/>
      <c r="T8" s="414"/>
    </row>
    <row r="9" spans="1:20" ht="12.95" customHeight="1" thickBot="1">
      <c r="A9" s="420"/>
      <c r="B9" s="410"/>
      <c r="C9" s="412"/>
      <c r="D9" s="399"/>
      <c r="E9" s="399"/>
      <c r="F9" s="399"/>
      <c r="G9" s="404"/>
      <c r="H9" s="404"/>
      <c r="I9" s="413"/>
      <c r="J9" s="415"/>
      <c r="K9" s="428"/>
      <c r="L9" s="410"/>
      <c r="M9" s="412"/>
      <c r="N9" s="399"/>
      <c r="O9" s="399"/>
      <c r="P9" s="399"/>
      <c r="Q9" s="404"/>
      <c r="R9" s="404"/>
      <c r="S9" s="413"/>
      <c r="T9" s="415"/>
    </row>
    <row r="10" spans="1:20" ht="12.75" customHeight="1">
      <c r="A10" s="418">
        <v>2</v>
      </c>
      <c r="B10" s="421">
        <v>9</v>
      </c>
      <c r="C10" s="430" t="str">
        <f>IFERROR(VLOOKUP(B10,пр.взв!$B$7:$H$38,2,0),"")</f>
        <v xml:space="preserve">ДИЛМИЕВ  Фирзан  Флюрович </v>
      </c>
      <c r="D10" s="396" t="str">
        <f>IFERROR(VLOOKUP(B10,пр.взв!$B$7:$H$38,3,0),"")</f>
        <v>17.06.2003, КМС</v>
      </c>
      <c r="E10" s="396" t="str">
        <f>IFERROR(VLOOKUP(B10,пр.взв!$B$7:$H$38,4,0),"")</f>
        <v>ПФО</v>
      </c>
      <c r="F10" s="396" t="str">
        <f>IFERROR(VLOOKUP(B10,пр.взв!$B$7:$H$38,5,0),"")</f>
        <v>Чувашская, Чебоксары, МС</v>
      </c>
      <c r="G10" s="400"/>
      <c r="H10" s="402"/>
      <c r="I10" s="405"/>
      <c r="J10" s="429"/>
      <c r="K10" s="426">
        <v>10</v>
      </c>
      <c r="L10" s="421">
        <v>10</v>
      </c>
      <c r="M10" s="430" t="str">
        <f>IFERROR(VLOOKUP(L10,пр.взв!$B$7:$H$38,2,0),"")</f>
        <v>БАКОТИН Илья Максимович</v>
      </c>
      <c r="N10" s="396" t="str">
        <f>IFERROR(VLOOKUP(L10,пр.взв!$B$7:$H$38,3,0),"")</f>
        <v>27.12.2002, кмс</v>
      </c>
      <c r="O10" s="396" t="str">
        <f>IFERROR(VLOOKUP(L10,пр.взв!$B$7:$H$38,4,0),"")</f>
        <v>ЦФО</v>
      </c>
      <c r="P10" s="396" t="str">
        <f>IFERROR(VLOOKUP(L10,пр.взв!$B$7:$H$38,5,0),"")</f>
        <v>Московская, Дзержинсий, МО</v>
      </c>
      <c r="Q10" s="400"/>
      <c r="R10" s="402"/>
      <c r="S10" s="405"/>
      <c r="T10" s="429"/>
    </row>
    <row r="11" spans="1:20" ht="12.6" customHeight="1">
      <c r="A11" s="419"/>
      <c r="B11" s="422"/>
      <c r="C11" s="431"/>
      <c r="D11" s="397"/>
      <c r="E11" s="397"/>
      <c r="F11" s="397"/>
      <c r="G11" s="401"/>
      <c r="H11" s="401"/>
      <c r="I11" s="406"/>
      <c r="J11" s="408"/>
      <c r="K11" s="427"/>
      <c r="L11" s="422"/>
      <c r="M11" s="431"/>
      <c r="N11" s="397"/>
      <c r="O11" s="397"/>
      <c r="P11" s="397"/>
      <c r="Q11" s="401"/>
      <c r="R11" s="401"/>
      <c r="S11" s="406"/>
      <c r="T11" s="408"/>
    </row>
    <row r="12" spans="1:20" ht="12.75" customHeight="1">
      <c r="A12" s="419"/>
      <c r="B12" s="409">
        <v>25</v>
      </c>
      <c r="C12" s="411" t="str">
        <f>IFERROR(VLOOKUP(B12,пр.взв!$B$7:$H$38,2,0),"")</f>
        <v>УСОВ Дмитрий Николаевич</v>
      </c>
      <c r="D12" s="398" t="str">
        <f>IFERROR(VLOOKUP(B12,пр.взв!$B$7:$H$38,3,0),"")</f>
        <v>26.10.1999, МС</v>
      </c>
      <c r="E12" s="398" t="str">
        <f>IFERROR(VLOOKUP(B12,пр.взв!$B$7:$H$38,4,0),"")</f>
        <v>ЦФО</v>
      </c>
      <c r="F12" s="398" t="str">
        <f>IFERROR(VLOOKUP(B12,пр.взв!$B$7:$H$38,5,0),"")</f>
        <v>Липецкая, Елец, Д</v>
      </c>
      <c r="G12" s="403"/>
      <c r="H12" s="403"/>
      <c r="I12" s="304"/>
      <c r="J12" s="414"/>
      <c r="K12" s="427"/>
      <c r="L12" s="409">
        <v>26</v>
      </c>
      <c r="M12" s="411" t="str">
        <f>IFERROR(VLOOKUP(L12,пр.взв!$B$7:$H$38,2,0),"")</f>
        <v xml:space="preserve">АГАДЖАНЯН  Ален Ишханович </v>
      </c>
      <c r="N12" s="398" t="str">
        <f>IFERROR(VLOOKUP(L12,пр.взв!$B$7:$H$38,3,0),"")</f>
        <v>07.01.2002, КМС</v>
      </c>
      <c r="O12" s="398" t="str">
        <f>IFERROR(VLOOKUP(L12,пр.взв!$B$7:$H$38,4,0),"")</f>
        <v>СФО</v>
      </c>
      <c r="P12" s="398" t="str">
        <f>IFERROR(VLOOKUP(L12,пр.взв!$B$7:$H$38,5,0),"")</f>
        <v>Красноярский, Красноярск, МО</v>
      </c>
      <c r="Q12" s="403"/>
      <c r="R12" s="403"/>
      <c r="S12" s="304"/>
      <c r="T12" s="414"/>
    </row>
    <row r="13" spans="1:20" ht="12.95" customHeight="1" thickBot="1">
      <c r="A13" s="420"/>
      <c r="B13" s="410"/>
      <c r="C13" s="412"/>
      <c r="D13" s="399"/>
      <c r="E13" s="399"/>
      <c r="F13" s="399"/>
      <c r="G13" s="404"/>
      <c r="H13" s="404"/>
      <c r="I13" s="413"/>
      <c r="J13" s="415"/>
      <c r="K13" s="428"/>
      <c r="L13" s="410"/>
      <c r="M13" s="412"/>
      <c r="N13" s="399"/>
      <c r="O13" s="399"/>
      <c r="P13" s="399"/>
      <c r="Q13" s="404"/>
      <c r="R13" s="404"/>
      <c r="S13" s="413"/>
      <c r="T13" s="415"/>
    </row>
    <row r="14" spans="1:20" ht="12.75" customHeight="1">
      <c r="A14" s="418">
        <v>3</v>
      </c>
      <c r="B14" s="421">
        <v>5</v>
      </c>
      <c r="C14" s="430" t="str">
        <f>IFERROR(VLOOKUP(B14,пр.взв!$B$7:$H$38,2,0),"")</f>
        <v>ЭМИНОВ Магамед Ширинович</v>
      </c>
      <c r="D14" s="396" t="str">
        <f>IFERROR(VLOOKUP(B14,пр.взв!$B$7:$H$38,3,0),"")</f>
        <v>02.07.2000, МС</v>
      </c>
      <c r="E14" s="396" t="str">
        <f>IFERROR(VLOOKUP(B14,пр.взв!$B$7:$H$38,4,0),"")</f>
        <v>ЦФО</v>
      </c>
      <c r="F14" s="396" t="str">
        <f>IFERROR(VLOOKUP(B14,пр.взв!$B$7:$H$38,5,0),"")</f>
        <v>Костромская, Кострома, ВС</v>
      </c>
      <c r="G14" s="432"/>
      <c r="H14" s="435"/>
      <c r="I14" s="433"/>
      <c r="J14" s="434"/>
      <c r="K14" s="426">
        <v>11</v>
      </c>
      <c r="L14" s="421">
        <v>6</v>
      </c>
      <c r="M14" s="430" t="str">
        <f>IFERROR(VLOOKUP(L14,пр.взв!$B$7:$H$38,2,0),"")</f>
        <v>МАМЕДОВ Камран Кямилевич</v>
      </c>
      <c r="N14" s="396" t="str">
        <f>IFERROR(VLOOKUP(L14,пр.взв!$B$7:$H$38,3,0),"")</f>
        <v>07.04.1999, МС</v>
      </c>
      <c r="O14" s="396" t="str">
        <f>IFERROR(VLOOKUP(L14,пр.взв!$B$7:$H$38,4,0),"")</f>
        <v>МОС</v>
      </c>
      <c r="P14" s="396" t="str">
        <f>IFERROR(VLOOKUP(L14,пр.взв!$B$7:$H$38,5,0),"")</f>
        <v>Москва, Москва, МО</v>
      </c>
      <c r="Q14" s="432"/>
      <c r="R14" s="435"/>
      <c r="S14" s="433"/>
      <c r="T14" s="434"/>
    </row>
    <row r="15" spans="1:20" ht="12.75" customHeight="1">
      <c r="A15" s="419"/>
      <c r="B15" s="422"/>
      <c r="C15" s="431"/>
      <c r="D15" s="397"/>
      <c r="E15" s="397"/>
      <c r="F15" s="397"/>
      <c r="G15" s="401"/>
      <c r="H15" s="401"/>
      <c r="I15" s="406"/>
      <c r="J15" s="408"/>
      <c r="K15" s="427"/>
      <c r="L15" s="422"/>
      <c r="M15" s="431"/>
      <c r="N15" s="397"/>
      <c r="O15" s="397"/>
      <c r="P15" s="397"/>
      <c r="Q15" s="401"/>
      <c r="R15" s="401"/>
      <c r="S15" s="406"/>
      <c r="T15" s="408"/>
    </row>
    <row r="16" spans="1:20" ht="12.75" customHeight="1">
      <c r="A16" s="419"/>
      <c r="B16" s="409">
        <v>21</v>
      </c>
      <c r="C16" s="411" t="str">
        <f>IFERROR(VLOOKUP(B16,пр.взв!$B$7:$H$38,2,0),"")</f>
        <v xml:space="preserve">ТЛИШЕВ  Харун  Аминович </v>
      </c>
      <c r="D16" s="398" t="str">
        <f>IFERROR(VLOOKUP(B16,пр.взв!$B$7:$H$38,3,0),"")</f>
        <v>15.11.1999, МСМК</v>
      </c>
      <c r="E16" s="398" t="str">
        <f>IFERROR(VLOOKUP(B16,пр.взв!$B$7:$H$38,4,0),"")</f>
        <v>ЮФО</v>
      </c>
      <c r="F16" s="398" t="str">
        <f>IFERROR(VLOOKUP(B16,пр.взв!$B$7:$H$38,5,0),"")</f>
        <v>Краснодарский, Армавир, ВС</v>
      </c>
      <c r="G16" s="403"/>
      <c r="H16" s="403"/>
      <c r="I16" s="304"/>
      <c r="J16" s="414"/>
      <c r="K16" s="427"/>
      <c r="L16" s="409">
        <v>22</v>
      </c>
      <c r="M16" s="411" t="str">
        <f>IFERROR(VLOOKUP(L16,пр.взв!$B$7:$H$38,2,0),"")</f>
        <v xml:space="preserve">ПЕТРОВ  Глеб  Владимирович </v>
      </c>
      <c r="N16" s="398" t="str">
        <f>IFERROR(VLOOKUP(L16,пр.взв!$B$7:$H$38,3,0),"")</f>
        <v>22.05.2002, МС</v>
      </c>
      <c r="O16" s="398" t="str">
        <f>IFERROR(VLOOKUP(L16,пр.взв!$B$7:$H$38,4,0),"")</f>
        <v>ЦФО</v>
      </c>
      <c r="P16" s="398" t="str">
        <f>IFERROR(VLOOKUP(L16,пр.взв!$B$7:$H$38,5,0),"")</f>
        <v>Тульская, Тула</v>
      </c>
      <c r="Q16" s="403"/>
      <c r="R16" s="403"/>
      <c r="S16" s="304"/>
      <c r="T16" s="414"/>
    </row>
    <row r="17" spans="1:20" ht="13.5" customHeight="1" thickBot="1">
      <c r="A17" s="420"/>
      <c r="B17" s="410"/>
      <c r="C17" s="412"/>
      <c r="D17" s="399"/>
      <c r="E17" s="399"/>
      <c r="F17" s="399"/>
      <c r="G17" s="404"/>
      <c r="H17" s="404"/>
      <c r="I17" s="413"/>
      <c r="J17" s="415"/>
      <c r="K17" s="428"/>
      <c r="L17" s="410"/>
      <c r="M17" s="412"/>
      <c r="N17" s="399"/>
      <c r="O17" s="399"/>
      <c r="P17" s="399"/>
      <c r="Q17" s="404"/>
      <c r="R17" s="404"/>
      <c r="S17" s="413"/>
      <c r="T17" s="415"/>
    </row>
    <row r="18" spans="1:20" ht="12.75" customHeight="1">
      <c r="A18" s="418">
        <v>4</v>
      </c>
      <c r="B18" s="421">
        <v>13</v>
      </c>
      <c r="C18" s="437" t="str">
        <f>IFERROR(VLOOKUP(B18,пр.взв!$B$7:$H$38,2,0),"")</f>
        <v>МАКСИМОВ Роман Влексеевич</v>
      </c>
      <c r="D18" s="439" t="str">
        <f>IFERROR(VLOOKUP(B18,пр.взв!$B$7:$H$38,3,0),"")</f>
        <v>27.04.2001, КМС</v>
      </c>
      <c r="E18" s="439" t="str">
        <f>IFERROR(VLOOKUP(B18,пр.взв!$B$7:$H$38,4,0),"")</f>
        <v>ПФО</v>
      </c>
      <c r="F18" s="439" t="str">
        <f>IFERROR(VLOOKUP(B18,пр.взв!$B$7:$H$38,5,0),"")</f>
        <v>Р. Татарстан, Казань</v>
      </c>
      <c r="G18" s="400"/>
      <c r="H18" s="402"/>
      <c r="I18" s="405"/>
      <c r="J18" s="444"/>
      <c r="K18" s="445">
        <v>12</v>
      </c>
      <c r="L18" s="448">
        <v>14</v>
      </c>
      <c r="M18" s="437" t="str">
        <f>IFERROR(VLOOKUP(L18,пр.взв!$B$7:$H$38,2,0),"")</f>
        <v>ПЕРЕПЕЛИЦЫН Даниил Андреевич</v>
      </c>
      <c r="N18" s="439" t="str">
        <f>IFERROR(VLOOKUP(L18,пр.взв!$B$7:$H$38,3,0),"")</f>
        <v>23.02.2002, МС</v>
      </c>
      <c r="O18" s="439" t="str">
        <f>IFERROR(VLOOKUP(L18,пр.взв!$B$7:$H$38,4,0),"")</f>
        <v>ЮФО</v>
      </c>
      <c r="P18" s="439" t="str">
        <f>IFERROR(VLOOKUP(L18,пр.взв!$B$7:$H$38,5,0),"")</f>
        <v>Ростовская, Ростов-на-Дону</v>
      </c>
      <c r="Q18" s="401"/>
      <c r="R18" s="443"/>
      <c r="S18" s="406"/>
      <c r="T18" s="436"/>
    </row>
    <row r="19" spans="1:20" ht="12.75" customHeight="1">
      <c r="A19" s="419"/>
      <c r="B19" s="422"/>
      <c r="C19" s="438"/>
      <c r="D19" s="440"/>
      <c r="E19" s="440"/>
      <c r="F19" s="440"/>
      <c r="G19" s="401"/>
      <c r="H19" s="401"/>
      <c r="I19" s="406"/>
      <c r="J19" s="408"/>
      <c r="K19" s="446"/>
      <c r="L19" s="449"/>
      <c r="M19" s="438"/>
      <c r="N19" s="440"/>
      <c r="O19" s="440"/>
      <c r="P19" s="440"/>
      <c r="Q19" s="401"/>
      <c r="R19" s="401"/>
      <c r="S19" s="406"/>
      <c r="T19" s="408"/>
    </row>
    <row r="20" spans="1:20" ht="12.75" customHeight="1">
      <c r="A20" s="419"/>
      <c r="B20" s="409">
        <v>29</v>
      </c>
      <c r="C20" s="441">
        <f>IFERROR(VLOOKUP(B20,пр.взв!$B$7:$H$38,2,0),"")</f>
        <v>0</v>
      </c>
      <c r="D20" s="394">
        <f>IFERROR(VLOOKUP(B20,пр.взв!$B$7:$H$38,3,0),"")</f>
        <v>0</v>
      </c>
      <c r="E20" s="394">
        <f>IFERROR(VLOOKUP(B20,пр.взв!$B$7:$H$38,4,0),"")</f>
        <v>0</v>
      </c>
      <c r="F20" s="394">
        <f>IFERROR(VLOOKUP(B20,пр.взв!$B$7:$H$38,5,0),"")</f>
        <v>0</v>
      </c>
      <c r="G20" s="403"/>
      <c r="H20" s="403"/>
      <c r="I20" s="304"/>
      <c r="J20" s="414"/>
      <c r="K20" s="446"/>
      <c r="L20" s="450">
        <v>30</v>
      </c>
      <c r="M20" s="441">
        <f>IFERROR(VLOOKUP(L20,пр.взв!$B$7:$H$38,2,0),"")</f>
        <v>0</v>
      </c>
      <c r="N20" s="394">
        <f>IFERROR(VLOOKUP(L20,пр.взв!$B$7:$H$38,3,0),"")</f>
        <v>0</v>
      </c>
      <c r="O20" s="394">
        <f>IFERROR(VLOOKUP(L20,пр.взв!$B$7:$H$38,4,0),"")</f>
        <v>0</v>
      </c>
      <c r="P20" s="394">
        <f>IFERROR(VLOOKUP(L20,пр.взв!$B$7:$H$38,5,0),"")</f>
        <v>0</v>
      </c>
      <c r="Q20" s="403"/>
      <c r="R20" s="403"/>
      <c r="S20" s="304"/>
      <c r="T20" s="414"/>
    </row>
    <row r="21" spans="1:20" ht="13.5" customHeight="1" thickBot="1">
      <c r="A21" s="420"/>
      <c r="B21" s="410"/>
      <c r="C21" s="442"/>
      <c r="D21" s="395"/>
      <c r="E21" s="395"/>
      <c r="F21" s="395"/>
      <c r="G21" s="404"/>
      <c r="H21" s="404"/>
      <c r="I21" s="413"/>
      <c r="J21" s="415"/>
      <c r="K21" s="447"/>
      <c r="L21" s="451"/>
      <c r="M21" s="442"/>
      <c r="N21" s="395"/>
      <c r="O21" s="395"/>
      <c r="P21" s="395"/>
      <c r="Q21" s="404"/>
      <c r="R21" s="404"/>
      <c r="S21" s="413"/>
      <c r="T21" s="415"/>
    </row>
    <row r="22" spans="1:20" ht="12.75" customHeight="1">
      <c r="A22" s="418">
        <v>5</v>
      </c>
      <c r="B22" s="421">
        <v>3</v>
      </c>
      <c r="C22" s="430" t="str">
        <f>IFERROR(VLOOKUP(B22,пр.взв!$B$7:$H$38,2,0),"")</f>
        <v>КОРОБКОВ Григорий Георгиевич</v>
      </c>
      <c r="D22" s="396" t="str">
        <f>IFERROR(VLOOKUP(B22,пр.взв!$B$7:$H$38,3,0),"")</f>
        <v>26.07.2003, КМС</v>
      </c>
      <c r="E22" s="396" t="str">
        <f>IFERROR(VLOOKUP(B22,пр.взв!$B$7:$H$38,4,0),"")</f>
        <v>СПБ</v>
      </c>
      <c r="F22" s="396" t="str">
        <f>IFERROR(VLOOKUP(B22,пр.взв!$B$7:$H$38,5,0),"")</f>
        <v>Санкт-Петербург, МО</v>
      </c>
      <c r="G22" s="432"/>
      <c r="H22" s="435"/>
      <c r="I22" s="433"/>
      <c r="J22" s="434"/>
      <c r="K22" s="426">
        <v>13</v>
      </c>
      <c r="L22" s="421">
        <v>4</v>
      </c>
      <c r="M22" s="430" t="str">
        <f>IFERROR(VLOOKUP(L22,пр.взв!$B$7:$H$38,2,0),"")</f>
        <v>ЛУКЬЯНЧУК Николай Александрович</v>
      </c>
      <c r="N22" s="396" t="str">
        <f>IFERROR(VLOOKUP(L22,пр.взв!$B$7:$H$38,3,0),"")</f>
        <v>23.01.2001, МС</v>
      </c>
      <c r="O22" s="396" t="str">
        <f>IFERROR(VLOOKUP(L22,пр.взв!$B$7:$H$38,4,0),"")</f>
        <v>УФО</v>
      </c>
      <c r="P22" s="396" t="str">
        <f>IFERROR(VLOOKUP(L22,пр.взв!$B$7:$H$38,5,0),"")</f>
        <v>ХМАО-Югра, Нижневартовск, ВС</v>
      </c>
      <c r="Q22" s="432"/>
      <c r="R22" s="435"/>
      <c r="S22" s="433"/>
      <c r="T22" s="434"/>
    </row>
    <row r="23" spans="1:20" ht="12.75" customHeight="1">
      <c r="A23" s="419"/>
      <c r="B23" s="422"/>
      <c r="C23" s="431"/>
      <c r="D23" s="397"/>
      <c r="E23" s="397"/>
      <c r="F23" s="397"/>
      <c r="G23" s="401"/>
      <c r="H23" s="401"/>
      <c r="I23" s="406"/>
      <c r="J23" s="408"/>
      <c r="K23" s="427"/>
      <c r="L23" s="422"/>
      <c r="M23" s="431"/>
      <c r="N23" s="397"/>
      <c r="O23" s="397"/>
      <c r="P23" s="397"/>
      <c r="Q23" s="401"/>
      <c r="R23" s="401"/>
      <c r="S23" s="406"/>
      <c r="T23" s="408"/>
    </row>
    <row r="24" spans="1:20" ht="12.75" customHeight="1">
      <c r="A24" s="419"/>
      <c r="B24" s="409">
        <v>19</v>
      </c>
      <c r="C24" s="411" t="str">
        <f>IFERROR(VLOOKUP(B24,пр.взв!$B$7:$H$38,2,0),"")</f>
        <v xml:space="preserve">ОНИЩЕНКО  Андрей  Антониевич </v>
      </c>
      <c r="D24" s="398" t="str">
        <f>IFERROR(VLOOKUP(B24,пр.взв!$B$7:$H$38,3,0),"")</f>
        <v>07.02.2001, МС</v>
      </c>
      <c r="E24" s="398" t="str">
        <f>IFERROR(VLOOKUP(B24,пр.взв!$B$7:$H$38,4,0),"")</f>
        <v>СФО</v>
      </c>
      <c r="F24" s="398" t="str">
        <f>IFERROR(VLOOKUP(B24,пр.взв!$B$7:$H$38,5,0),"")</f>
        <v>Иркутская, Усть-Илимск, МО</v>
      </c>
      <c r="G24" s="403"/>
      <c r="H24" s="403"/>
      <c r="I24" s="304"/>
      <c r="J24" s="414"/>
      <c r="K24" s="427"/>
      <c r="L24" s="409">
        <v>20</v>
      </c>
      <c r="M24" s="411" t="str">
        <f>IFERROR(VLOOKUP(L24,пр.взв!$B$7:$H$38,2,0),"")</f>
        <v>ГАДЖИЕВ Завир Агавердиевич</v>
      </c>
      <c r="N24" s="398" t="str">
        <f>IFERROR(VLOOKUP(L24,пр.взв!$B$7:$H$38,3,0),"")</f>
        <v>27.11.2003, КМС</v>
      </c>
      <c r="O24" s="398" t="str">
        <f>IFERROR(VLOOKUP(L24,пр.взв!$B$7:$H$38,4,0),"")</f>
        <v>СКФО</v>
      </c>
      <c r="P24" s="398" t="str">
        <f>IFERROR(VLOOKUP(L24,пр.взв!$B$7:$H$38,5,0),"")</f>
        <v>Р.Дагестан, Каспийск, ПР</v>
      </c>
      <c r="Q24" s="403"/>
      <c r="R24" s="403"/>
      <c r="S24" s="304"/>
      <c r="T24" s="414"/>
    </row>
    <row r="25" spans="1:20" ht="13.5" customHeight="1" thickBot="1">
      <c r="A25" s="420"/>
      <c r="B25" s="410"/>
      <c r="C25" s="412"/>
      <c r="D25" s="399"/>
      <c r="E25" s="399"/>
      <c r="F25" s="399"/>
      <c r="G25" s="404"/>
      <c r="H25" s="404"/>
      <c r="I25" s="413"/>
      <c r="J25" s="415"/>
      <c r="K25" s="428"/>
      <c r="L25" s="410"/>
      <c r="M25" s="412"/>
      <c r="N25" s="399"/>
      <c r="O25" s="399"/>
      <c r="P25" s="399"/>
      <c r="Q25" s="404"/>
      <c r="R25" s="404"/>
      <c r="S25" s="413"/>
      <c r="T25" s="415"/>
    </row>
    <row r="26" spans="1:20" ht="12.75" customHeight="1">
      <c r="A26" s="418">
        <v>6</v>
      </c>
      <c r="B26" s="421">
        <v>11</v>
      </c>
      <c r="C26" s="430" t="str">
        <f>IFERROR(VLOOKUP(B26,пр.взв!$B$7:$H$38,2,0),"")</f>
        <v>ЛУКАШИН  Игорь Павлович</v>
      </c>
      <c r="D26" s="396" t="str">
        <f>IFERROR(VLOOKUP(B26,пр.взв!$B$7:$H$38,3,0),"")</f>
        <v>11.03.2001, МС</v>
      </c>
      <c r="E26" s="396" t="str">
        <f>IFERROR(VLOOKUP(B26,пр.взв!$B$7:$H$38,4,0),"")</f>
        <v>МОС</v>
      </c>
      <c r="F26" s="396" t="str">
        <f>IFERROR(VLOOKUP(B26,пр.взв!$B$7:$H$38,5,0),"")</f>
        <v>Москва, ВС</v>
      </c>
      <c r="G26" s="400"/>
      <c r="H26" s="402"/>
      <c r="I26" s="405"/>
      <c r="J26" s="429"/>
      <c r="K26" s="426">
        <v>14</v>
      </c>
      <c r="L26" s="421">
        <v>12</v>
      </c>
      <c r="M26" s="430" t="str">
        <f>IFERROR(VLOOKUP(L26,пр.взв!$B$7:$H$38,2,0),"")</f>
        <v xml:space="preserve">БУШУЕВ  Никита Александрович </v>
      </c>
      <c r="N26" s="396" t="str">
        <f>IFERROR(VLOOKUP(L26,пр.взв!$B$7:$H$38,3,0),"")</f>
        <v>24.07.2003, КМС</v>
      </c>
      <c r="O26" s="396" t="str">
        <f>IFERROR(VLOOKUP(L26,пр.взв!$B$7:$H$38,4,0),"")</f>
        <v>ПФО</v>
      </c>
      <c r="P26" s="396" t="str">
        <f>IFERROR(VLOOKUP(L26,пр.взв!$B$7:$H$38,5,0),"")</f>
        <v>Нижегородская, Нижний Новгород, ЦСКА</v>
      </c>
      <c r="Q26" s="400"/>
      <c r="R26" s="402"/>
      <c r="S26" s="405"/>
      <c r="T26" s="429"/>
    </row>
    <row r="27" spans="1:20" ht="12.75" customHeight="1">
      <c r="A27" s="419"/>
      <c r="B27" s="422"/>
      <c r="C27" s="431"/>
      <c r="D27" s="397"/>
      <c r="E27" s="397"/>
      <c r="F27" s="397"/>
      <c r="G27" s="401"/>
      <c r="H27" s="401"/>
      <c r="I27" s="406"/>
      <c r="J27" s="408"/>
      <c r="K27" s="427"/>
      <c r="L27" s="422"/>
      <c r="M27" s="431"/>
      <c r="N27" s="397"/>
      <c r="O27" s="397"/>
      <c r="P27" s="397"/>
      <c r="Q27" s="401"/>
      <c r="R27" s="401"/>
      <c r="S27" s="406"/>
      <c r="T27" s="408"/>
    </row>
    <row r="28" spans="1:20" ht="12.75" customHeight="1">
      <c r="A28" s="419"/>
      <c r="B28" s="409">
        <v>27</v>
      </c>
      <c r="C28" s="411">
        <f>IFERROR(VLOOKUP(B28,пр.взв!$B$7:$H$38,2,0),"")</f>
        <v>0</v>
      </c>
      <c r="D28" s="398">
        <f>IFERROR(VLOOKUP(B28,пр.взв!$B$7:$H$38,3,0),"")</f>
        <v>0</v>
      </c>
      <c r="E28" s="398">
        <f>IFERROR(VLOOKUP(B28,пр.взв!$B$7:$H$38,4,0),"")</f>
        <v>0</v>
      </c>
      <c r="F28" s="398">
        <f>IFERROR(VLOOKUP(B28,пр.взв!$B$7:$H$38,5,0),"")</f>
        <v>0</v>
      </c>
      <c r="G28" s="403"/>
      <c r="H28" s="403"/>
      <c r="I28" s="304"/>
      <c r="J28" s="414"/>
      <c r="K28" s="427"/>
      <c r="L28" s="409">
        <v>28</v>
      </c>
      <c r="M28" s="411">
        <f>IFERROR(VLOOKUP(L28,пр.взв!$B$7:$H$38,2,0),"")</f>
        <v>0</v>
      </c>
      <c r="N28" s="398">
        <f>IFERROR(VLOOKUP(L28,пр.взв!$B$7:$H$38,3,0),"")</f>
        <v>0</v>
      </c>
      <c r="O28" s="398">
        <f>IFERROR(VLOOKUP(L28,пр.взв!$B$7:$H$38,4,0),"")</f>
        <v>0</v>
      </c>
      <c r="P28" s="398">
        <f>IFERROR(VLOOKUP(L28,пр.взв!$B$7:$H$38,5,0),"")</f>
        <v>0</v>
      </c>
      <c r="Q28" s="403"/>
      <c r="R28" s="403"/>
      <c r="S28" s="304"/>
      <c r="T28" s="414"/>
    </row>
    <row r="29" spans="1:20" ht="13.5" customHeight="1" thickBot="1">
      <c r="A29" s="420"/>
      <c r="B29" s="410"/>
      <c r="C29" s="412"/>
      <c r="D29" s="399"/>
      <c r="E29" s="399"/>
      <c r="F29" s="399"/>
      <c r="G29" s="404"/>
      <c r="H29" s="404"/>
      <c r="I29" s="413"/>
      <c r="J29" s="415"/>
      <c r="K29" s="428"/>
      <c r="L29" s="410"/>
      <c r="M29" s="412"/>
      <c r="N29" s="399"/>
      <c r="O29" s="399"/>
      <c r="P29" s="399"/>
      <c r="Q29" s="404"/>
      <c r="R29" s="404"/>
      <c r="S29" s="413"/>
      <c r="T29" s="415"/>
    </row>
    <row r="30" spans="1:20" ht="12.75" customHeight="1">
      <c r="A30" s="418">
        <v>7</v>
      </c>
      <c r="B30" s="421">
        <v>7</v>
      </c>
      <c r="C30" s="430" t="str">
        <f>IFERROR(VLOOKUP(B30,пр.взв!$B$7:$H$38,2,0),"")</f>
        <v xml:space="preserve">ИВАНОВ Павел Владимирович </v>
      </c>
      <c r="D30" s="396" t="str">
        <f>IFERROR(VLOOKUP(B30,пр.взв!$B$7:$H$38,3,0),"")</f>
        <v>19.05.2003, КМС</v>
      </c>
      <c r="E30" s="396" t="str">
        <f>IFERROR(VLOOKUP(B30,пр.взв!$B$7:$H$38,4,0),"")</f>
        <v>ПФО</v>
      </c>
      <c r="F30" s="396" t="str">
        <f>IFERROR(VLOOKUP(B30,пр.взв!$B$7:$H$38,5,0),"")</f>
        <v>Чувашская, Чебоксары, МС</v>
      </c>
      <c r="G30" s="432"/>
      <c r="H30" s="435"/>
      <c r="I30" s="433"/>
      <c r="J30" s="434"/>
      <c r="K30" s="426">
        <v>15</v>
      </c>
      <c r="L30" s="421">
        <v>8</v>
      </c>
      <c r="M30" s="430" t="str">
        <f>IFERROR(VLOOKUP(L30,пр.взв!$B$7:$H$38,2,0),"")</f>
        <v>УЛЬЯНОВ Федор  Александрович</v>
      </c>
      <c r="N30" s="396" t="str">
        <f>IFERROR(VLOOKUP(L30,пр.взв!$B$7:$H$38,3,0),"")</f>
        <v>27.02.2002, КМС</v>
      </c>
      <c r="O30" s="396" t="str">
        <f>IFERROR(VLOOKUP(L30,пр.взв!$B$7:$H$38,4,0),"")</f>
        <v>МОС</v>
      </c>
      <c r="P30" s="396" t="str">
        <f>IFERROR(VLOOKUP(L30,пр.взв!$B$7:$H$38,5,0),"")</f>
        <v>Москва, Москва, ВС</v>
      </c>
      <c r="Q30" s="432"/>
      <c r="R30" s="435"/>
      <c r="S30" s="433"/>
      <c r="T30" s="434"/>
    </row>
    <row r="31" spans="1:20" ht="12.75" customHeight="1">
      <c r="A31" s="419"/>
      <c r="B31" s="422"/>
      <c r="C31" s="431"/>
      <c r="D31" s="397"/>
      <c r="E31" s="397"/>
      <c r="F31" s="397"/>
      <c r="G31" s="401"/>
      <c r="H31" s="401"/>
      <c r="I31" s="406"/>
      <c r="J31" s="408"/>
      <c r="K31" s="427"/>
      <c r="L31" s="422"/>
      <c r="M31" s="431"/>
      <c r="N31" s="397"/>
      <c r="O31" s="397"/>
      <c r="P31" s="397"/>
      <c r="Q31" s="401"/>
      <c r="R31" s="401"/>
      <c r="S31" s="406"/>
      <c r="T31" s="408"/>
    </row>
    <row r="32" spans="1:20" ht="12.75" customHeight="1">
      <c r="A32" s="419"/>
      <c r="B32" s="409">
        <v>23</v>
      </c>
      <c r="C32" s="411" t="str">
        <f>IFERROR(VLOOKUP(B32,пр.взв!$B$7:$H$38,2,0),"")</f>
        <v>ЛАЗУКИН Александр Валерьевич</v>
      </c>
      <c r="D32" s="398" t="str">
        <f>IFERROR(VLOOKUP(B32,пр.взв!$B$7:$H$38,3,0),"")</f>
        <v>31.10.2002, КМС</v>
      </c>
      <c r="E32" s="398" t="str">
        <f>IFERROR(VLOOKUP(B32,пр.взв!$B$7:$H$38,4,0),"")</f>
        <v>ЮФО</v>
      </c>
      <c r="F32" s="398" t="str">
        <f>IFERROR(VLOOKUP(B32,пр.взв!$B$7:$H$38,5,0),"")</f>
        <v>Краснодарский, Армавир, ЦСКА</v>
      </c>
      <c r="G32" s="403"/>
      <c r="H32" s="403"/>
      <c r="I32" s="304"/>
      <c r="J32" s="414"/>
      <c r="K32" s="427"/>
      <c r="L32" s="409">
        <v>24</v>
      </c>
      <c r="M32" s="411" t="str">
        <f>IFERROR(VLOOKUP(L32,пр.взв!$B$7:$H$38,2,0),"")</f>
        <v>САПРЫКИН Владислав Николаевич</v>
      </c>
      <c r="N32" s="398" t="str">
        <f>IFERROR(VLOOKUP(L32,пр.взв!$B$7:$H$38,3,0),"")</f>
        <v>25.10.2003, КМС</v>
      </c>
      <c r="O32" s="398" t="str">
        <f>IFERROR(VLOOKUP(L32,пр.взв!$B$7:$H$38,4,0),"")</f>
        <v>ЦФО</v>
      </c>
      <c r="P32" s="398" t="str">
        <f>IFERROR(VLOOKUP(L32,пр.взв!$B$7:$H$38,5,0),"")</f>
        <v>Костромская, Кострома, ВС</v>
      </c>
      <c r="Q32" s="403"/>
      <c r="R32" s="403"/>
      <c r="S32" s="304"/>
      <c r="T32" s="414"/>
    </row>
    <row r="33" spans="1:20" ht="13.5" customHeight="1" thickBot="1">
      <c r="A33" s="420"/>
      <c r="B33" s="410"/>
      <c r="C33" s="412"/>
      <c r="D33" s="399"/>
      <c r="E33" s="399"/>
      <c r="F33" s="399"/>
      <c r="G33" s="404"/>
      <c r="H33" s="404"/>
      <c r="I33" s="413"/>
      <c r="J33" s="415"/>
      <c r="K33" s="428"/>
      <c r="L33" s="410"/>
      <c r="M33" s="412"/>
      <c r="N33" s="399"/>
      <c r="O33" s="399"/>
      <c r="P33" s="399"/>
      <c r="Q33" s="404"/>
      <c r="R33" s="404"/>
      <c r="S33" s="413"/>
      <c r="T33" s="415"/>
    </row>
    <row r="34" spans="1:20" ht="12.75" customHeight="1">
      <c r="A34" s="418">
        <v>8</v>
      </c>
      <c r="B34" s="421">
        <v>15</v>
      </c>
      <c r="C34" s="430" t="str">
        <f>IFERROR(VLOOKUP(B34,пр.взв!$B$7:$H$38,2,0),"")</f>
        <v>СВИНЧУКОВ  Александр Павлович</v>
      </c>
      <c r="D34" s="396" t="str">
        <f>IFERROR(VLOOKUP(B34,пр.взв!$B$7:$H$38,3,0),"")</f>
        <v>04.02.2003, КМС</v>
      </c>
      <c r="E34" s="396" t="str">
        <f>IFERROR(VLOOKUP(B34,пр.взв!$B$7:$H$38,4,0),"")</f>
        <v>ЦФО</v>
      </c>
      <c r="F34" s="396" t="str">
        <f>IFERROR(VLOOKUP(B34,пр.взв!$B$7:$H$38,5,0),"")</f>
        <v>Брянская, Брянск, ЮР</v>
      </c>
      <c r="G34" s="401"/>
      <c r="H34" s="443"/>
      <c r="I34" s="406"/>
      <c r="J34" s="436"/>
      <c r="K34" s="426">
        <v>16</v>
      </c>
      <c r="L34" s="421">
        <v>16</v>
      </c>
      <c r="M34" s="430" t="str">
        <f>IFERROR(VLOOKUP(L34,пр.взв!$B$7:$H$38,2,0),"")</f>
        <v xml:space="preserve">ПАСТЕРНАК  Денис Иванович </v>
      </c>
      <c r="N34" s="396" t="str">
        <f>IFERROR(VLOOKUP(L34,пр.взв!$B$7:$H$38,3,0),"")</f>
        <v>16.02.1999, МС</v>
      </c>
      <c r="O34" s="396" t="str">
        <f>IFERROR(VLOOKUP(L34,пр.взв!$B$7:$H$38,4,0),"")</f>
        <v>ЮФО</v>
      </c>
      <c r="P34" s="396" t="str">
        <f>IFERROR(VLOOKUP(L34,пр.взв!$B$7:$H$38,5,0),"")</f>
        <v>Краснодарский, Курганинск, ВС</v>
      </c>
      <c r="Q34" s="401"/>
      <c r="R34" s="443"/>
      <c r="S34" s="406"/>
      <c r="T34" s="436"/>
    </row>
    <row r="35" spans="1:20" ht="12.75" customHeight="1">
      <c r="A35" s="419"/>
      <c r="B35" s="422"/>
      <c r="C35" s="431"/>
      <c r="D35" s="397"/>
      <c r="E35" s="397"/>
      <c r="F35" s="397"/>
      <c r="G35" s="401"/>
      <c r="H35" s="401"/>
      <c r="I35" s="406"/>
      <c r="J35" s="408"/>
      <c r="K35" s="427"/>
      <c r="L35" s="422"/>
      <c r="M35" s="431"/>
      <c r="N35" s="397"/>
      <c r="O35" s="397"/>
      <c r="P35" s="397"/>
      <c r="Q35" s="401"/>
      <c r="R35" s="401"/>
      <c r="S35" s="406"/>
      <c r="T35" s="408"/>
    </row>
    <row r="36" spans="1:20" ht="12.75" customHeight="1">
      <c r="A36" s="419"/>
      <c r="B36" s="409">
        <v>31</v>
      </c>
      <c r="C36" s="411">
        <f>IFERROR(VLOOKUP(B36,пр.взв!$B$7:$H$38,2,0),"")</f>
        <v>0</v>
      </c>
      <c r="D36" s="394">
        <f>IFERROR(VLOOKUP(B36,пр.взв!$B$7:$H$38,3,0),"")</f>
        <v>0</v>
      </c>
      <c r="E36" s="394">
        <f>IFERROR(VLOOKUP(B36,пр.взв!$B$7:$H$38,4,0),"")</f>
        <v>0</v>
      </c>
      <c r="F36" s="394">
        <f>IFERROR(VLOOKUP(B36,пр.взв!$B$7:$H$38,5,0),"")</f>
        <v>0</v>
      </c>
      <c r="G36" s="403"/>
      <c r="H36" s="403"/>
      <c r="I36" s="304"/>
      <c r="J36" s="414"/>
      <c r="K36" s="427"/>
      <c r="L36" s="409">
        <v>32</v>
      </c>
      <c r="M36" s="411">
        <f>IFERROR(VLOOKUP(L36,пр.взв!$B$7:$H$38,2,0),"")</f>
        <v>0</v>
      </c>
      <c r="N36" s="394">
        <f>IFERROR(VLOOKUP(L36,пр.взв!$B$7:$H$38,3,0),"")</f>
        <v>0</v>
      </c>
      <c r="O36" s="394">
        <f>IFERROR(VLOOKUP(L36,пр.взв!$B$7:$H$38,4,0),"")</f>
        <v>0</v>
      </c>
      <c r="P36" s="394">
        <f>IFERROR(VLOOKUP(L36,пр.взв!$B$7:$H$38,5,0),"")</f>
        <v>0</v>
      </c>
      <c r="Q36" s="403"/>
      <c r="R36" s="403"/>
      <c r="S36" s="304"/>
      <c r="T36" s="414"/>
    </row>
    <row r="37" spans="1:20" ht="13.5" customHeight="1" thickBot="1">
      <c r="A37" s="420"/>
      <c r="B37" s="410"/>
      <c r="C37" s="412"/>
      <c r="D37" s="395"/>
      <c r="E37" s="395"/>
      <c r="F37" s="395"/>
      <c r="G37" s="404"/>
      <c r="H37" s="404"/>
      <c r="I37" s="413"/>
      <c r="J37" s="415"/>
      <c r="K37" s="428"/>
      <c r="L37" s="410"/>
      <c r="M37" s="412"/>
      <c r="N37" s="395"/>
      <c r="O37" s="395"/>
      <c r="P37" s="395"/>
      <c r="Q37" s="404"/>
      <c r="R37" s="404"/>
      <c r="S37" s="413"/>
      <c r="T37" s="415"/>
    </row>
    <row r="38" spans="1:20" ht="15.75">
      <c r="B38" s="288">
        <f>B2</f>
        <v>0</v>
      </c>
      <c r="C38" s="289" t="s">
        <v>111</v>
      </c>
      <c r="D38" s="289"/>
      <c r="E38" s="370"/>
      <c r="F38" s="370"/>
      <c r="G38" s="289"/>
      <c r="H38" s="289"/>
      <c r="I38" s="289"/>
      <c r="J38" s="289"/>
      <c r="L38" s="288">
        <f>L2</f>
        <v>0</v>
      </c>
      <c r="M38" s="289" t="s">
        <v>111</v>
      </c>
      <c r="N38" s="289"/>
      <c r="O38" s="370"/>
      <c r="P38" s="370"/>
      <c r="Q38" s="289"/>
      <c r="R38" s="289"/>
      <c r="S38" s="289"/>
      <c r="T38" s="289"/>
    </row>
    <row r="39" spans="1:20" ht="16.5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В.к.58 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В.к.58  кг.</v>
      </c>
      <c r="R39" s="74"/>
      <c r="S39" s="74"/>
      <c r="T39" s="74"/>
    </row>
    <row r="40" spans="1:20" ht="12.75" customHeight="1">
      <c r="A40" s="372" t="s">
        <v>40</v>
      </c>
      <c r="B40" s="374" t="s">
        <v>4</v>
      </c>
      <c r="C40" s="376" t="s">
        <v>5</v>
      </c>
      <c r="D40" s="378" t="s">
        <v>14</v>
      </c>
      <c r="E40" s="380" t="s">
        <v>15</v>
      </c>
      <c r="F40" s="381"/>
      <c r="G40" s="376" t="s">
        <v>16</v>
      </c>
      <c r="H40" s="384" t="s">
        <v>41</v>
      </c>
      <c r="I40" s="386" t="s">
        <v>17</v>
      </c>
      <c r="J40" s="388" t="s">
        <v>18</v>
      </c>
      <c r="K40" s="452" t="s">
        <v>40</v>
      </c>
      <c r="L40" s="374" t="s">
        <v>4</v>
      </c>
      <c r="M40" s="376" t="s">
        <v>5</v>
      </c>
      <c r="N40" s="378" t="s">
        <v>14</v>
      </c>
      <c r="O40" s="390" t="s">
        <v>15</v>
      </c>
      <c r="P40" s="391"/>
      <c r="Q40" s="376" t="s">
        <v>16</v>
      </c>
      <c r="R40" s="384" t="s">
        <v>41</v>
      </c>
      <c r="S40" s="386" t="s">
        <v>17</v>
      </c>
      <c r="T40" s="388" t="s">
        <v>18</v>
      </c>
    </row>
    <row r="41" spans="1:20" ht="13.5" customHeight="1" thickBot="1">
      <c r="A41" s="373"/>
      <c r="B41" s="417" t="s">
        <v>34</v>
      </c>
      <c r="C41" s="377"/>
      <c r="D41" s="379"/>
      <c r="E41" s="382"/>
      <c r="F41" s="383"/>
      <c r="G41" s="377"/>
      <c r="H41" s="385"/>
      <c r="I41" s="387"/>
      <c r="J41" s="389" t="s">
        <v>35</v>
      </c>
      <c r="K41" s="453"/>
      <c r="L41" s="417" t="s">
        <v>34</v>
      </c>
      <c r="M41" s="377"/>
      <c r="N41" s="379"/>
      <c r="O41" s="392"/>
      <c r="P41" s="393"/>
      <c r="Q41" s="377"/>
      <c r="R41" s="385"/>
      <c r="S41" s="387"/>
      <c r="T41" s="389" t="s">
        <v>35</v>
      </c>
    </row>
    <row r="42" spans="1:20" ht="12.75" customHeight="1">
      <c r="A42" s="418">
        <v>1</v>
      </c>
      <c r="B42" s="454">
        <f>пр.хода!E8</f>
        <v>0</v>
      </c>
      <c r="C42" s="430" t="str">
        <f>IFERROR(VLOOKUP(B42,пр.взв!$B$7:$H$38,2,0),"")</f>
        <v/>
      </c>
      <c r="D42" s="396" t="str">
        <f>IFERROR(VLOOKUP(B42,пр.взв!$B$7:$H$38,3,0),"")</f>
        <v/>
      </c>
      <c r="E42" s="396" t="str">
        <f>IFERROR(VLOOKUP(B42,пр.взв!$B$7:$H$38,4,0),"")</f>
        <v/>
      </c>
      <c r="F42" s="396" t="str">
        <f>IFERROR(VLOOKUP(B42,пр.взв!$B$7:$H$38,5,0),"")</f>
        <v/>
      </c>
      <c r="G42" s="432"/>
      <c r="H42" s="435"/>
      <c r="I42" s="433"/>
      <c r="J42" s="434"/>
      <c r="K42" s="456">
        <v>5</v>
      </c>
      <c r="L42" s="454">
        <f>пр.хода!T8</f>
        <v>0</v>
      </c>
      <c r="M42" s="430" t="str">
        <f>IFERROR(VLOOKUP(L42,пр.взв!$B$7:$H$38,2,0),"")</f>
        <v/>
      </c>
      <c r="N42" s="396" t="str">
        <f>IFERROR(VLOOKUP(L42,пр.взв!$B$7:$H$38,3,0),"")</f>
        <v/>
      </c>
      <c r="O42" s="396" t="str">
        <f>IFERROR(VLOOKUP(L42,пр.взв!$B$7:$H$38,4,0),"")</f>
        <v/>
      </c>
      <c r="P42" s="396" t="str">
        <f>IFERROR(VLOOKUP(L42,пр.взв!$B$7:$H$38,5,0),"")</f>
        <v/>
      </c>
      <c r="Q42" s="400"/>
      <c r="R42" s="402"/>
      <c r="S42" s="405"/>
      <c r="T42" s="407"/>
    </row>
    <row r="43" spans="1:20" ht="12.6" customHeight="1">
      <c r="A43" s="419"/>
      <c r="B43" s="455"/>
      <c r="C43" s="431"/>
      <c r="D43" s="397"/>
      <c r="E43" s="397"/>
      <c r="F43" s="397"/>
      <c r="G43" s="401"/>
      <c r="H43" s="401"/>
      <c r="I43" s="406"/>
      <c r="J43" s="408"/>
      <c r="K43" s="457"/>
      <c r="L43" s="455"/>
      <c r="M43" s="431"/>
      <c r="N43" s="397"/>
      <c r="O43" s="397"/>
      <c r="P43" s="397"/>
      <c r="Q43" s="401"/>
      <c r="R43" s="401"/>
      <c r="S43" s="406"/>
      <c r="T43" s="408"/>
    </row>
    <row r="44" spans="1:20" ht="12.75" customHeight="1">
      <c r="A44" s="419"/>
      <c r="B44" s="459">
        <f>пр.хода!E12</f>
        <v>0</v>
      </c>
      <c r="C44" s="411" t="str">
        <f>IFERROR(VLOOKUP(B44,пр.взв!$B$7:$H$38,2,0),"")</f>
        <v/>
      </c>
      <c r="D44" s="398" t="str">
        <f>IFERROR(VLOOKUP(B44,пр.взв!$B$7:$H$38,3,0),"")</f>
        <v/>
      </c>
      <c r="E44" s="398" t="str">
        <f>IFERROR(VLOOKUP(B44,пр.взв!$B$7:$H$38,4,0),"")</f>
        <v/>
      </c>
      <c r="F44" s="398" t="str">
        <f>IFERROR(VLOOKUP(B44,пр.взв!$B$7:$H$38,5,0),"")</f>
        <v/>
      </c>
      <c r="G44" s="403"/>
      <c r="H44" s="403"/>
      <c r="I44" s="304"/>
      <c r="J44" s="414"/>
      <c r="K44" s="457"/>
      <c r="L44" s="459">
        <f>пр.хода!T12</f>
        <v>0</v>
      </c>
      <c r="M44" s="411" t="str">
        <f>IFERROR(VLOOKUP(L44,пр.взв!$B$7:$H$38,2,0),"")</f>
        <v/>
      </c>
      <c r="N44" s="398" t="str">
        <f>IFERROR(VLOOKUP(L44,пр.взв!$B$7:$H$38,3,0),"")</f>
        <v/>
      </c>
      <c r="O44" s="398" t="str">
        <f>IFERROR(VLOOKUP(L44,пр.взв!$B$7:$H$38,4,0),"")</f>
        <v/>
      </c>
      <c r="P44" s="398" t="str">
        <f>IFERROR(VLOOKUP(L44,пр.взв!$B$7:$H$38,5,0),"")</f>
        <v/>
      </c>
      <c r="Q44" s="403"/>
      <c r="R44" s="403"/>
      <c r="S44" s="304"/>
      <c r="T44" s="414"/>
    </row>
    <row r="45" spans="1:20" ht="12.95" customHeight="1" thickBot="1">
      <c r="A45" s="420"/>
      <c r="B45" s="460"/>
      <c r="C45" s="412"/>
      <c r="D45" s="399"/>
      <c r="E45" s="399"/>
      <c r="F45" s="399"/>
      <c r="G45" s="404"/>
      <c r="H45" s="404"/>
      <c r="I45" s="413"/>
      <c r="J45" s="415"/>
      <c r="K45" s="458"/>
      <c r="L45" s="460"/>
      <c r="M45" s="412"/>
      <c r="N45" s="399"/>
      <c r="O45" s="399"/>
      <c r="P45" s="399"/>
      <c r="Q45" s="404"/>
      <c r="R45" s="404"/>
      <c r="S45" s="413"/>
      <c r="T45" s="415"/>
    </row>
    <row r="46" spans="1:20" ht="12.75" customHeight="1">
      <c r="A46" s="418">
        <v>2</v>
      </c>
      <c r="B46" s="454">
        <f>пр.хода!E16</f>
        <v>0</v>
      </c>
      <c r="C46" s="430" t="str">
        <f>IFERROR(VLOOKUP(B46,пр.взв!$B$7:$H$38,2,0),"")</f>
        <v/>
      </c>
      <c r="D46" s="396" t="str">
        <f>IFERROR(VLOOKUP(B46,пр.взв!$B$7:$H$38,3,0),"")</f>
        <v/>
      </c>
      <c r="E46" s="396" t="str">
        <f>IFERROR(VLOOKUP(B46,пр.взв!$B$7:$H$38,4,0),"")</f>
        <v/>
      </c>
      <c r="F46" s="396" t="str">
        <f>IFERROR(VLOOKUP(B46,пр.взв!$B$7:$H$38,5,0),"")</f>
        <v/>
      </c>
      <c r="G46" s="400"/>
      <c r="H46" s="402"/>
      <c r="I46" s="405"/>
      <c r="J46" s="429"/>
      <c r="K46" s="456">
        <v>6</v>
      </c>
      <c r="L46" s="454">
        <f>пр.хода!T16</f>
        <v>0</v>
      </c>
      <c r="M46" s="430" t="str">
        <f>IFERROR(VLOOKUP(L46,пр.взв!$B$7:$H$38,2,0),"")</f>
        <v/>
      </c>
      <c r="N46" s="396" t="str">
        <f>IFERROR(VLOOKUP(L46,пр.взв!$B$7:$H$38,3,0),"")</f>
        <v/>
      </c>
      <c r="O46" s="396" t="str">
        <f>IFERROR(VLOOKUP(L46,пр.взв!$B$7:$H$38,4,0),"")</f>
        <v/>
      </c>
      <c r="P46" s="396" t="str">
        <f>IFERROR(VLOOKUP(L46,пр.взв!$B$7:$H$38,5,0),"")</f>
        <v/>
      </c>
      <c r="Q46" s="400"/>
      <c r="R46" s="402"/>
      <c r="S46" s="405"/>
      <c r="T46" s="429"/>
    </row>
    <row r="47" spans="1:20" ht="12.6" customHeight="1">
      <c r="A47" s="419"/>
      <c r="B47" s="455"/>
      <c r="C47" s="431"/>
      <c r="D47" s="397"/>
      <c r="E47" s="397"/>
      <c r="F47" s="397"/>
      <c r="G47" s="401"/>
      <c r="H47" s="401"/>
      <c r="I47" s="406"/>
      <c r="J47" s="408"/>
      <c r="K47" s="457"/>
      <c r="L47" s="455"/>
      <c r="M47" s="431"/>
      <c r="N47" s="397"/>
      <c r="O47" s="397"/>
      <c r="P47" s="397"/>
      <c r="Q47" s="401"/>
      <c r="R47" s="401"/>
      <c r="S47" s="406"/>
      <c r="T47" s="408"/>
    </row>
    <row r="48" spans="1:20" ht="12.75" customHeight="1">
      <c r="A48" s="419"/>
      <c r="B48" s="459">
        <f>пр.хода!E20</f>
        <v>13</v>
      </c>
      <c r="C48" s="411" t="str">
        <f>IFERROR(VLOOKUP(B48,пр.взв!$B$7:$H$38,2,0),"")</f>
        <v>МАКСИМОВ Роман Влексеевич</v>
      </c>
      <c r="D48" s="398" t="str">
        <f>IFERROR(VLOOKUP(B48,пр.взв!$B$7:$H$38,3,0),"")</f>
        <v>27.04.2001, КМС</v>
      </c>
      <c r="E48" s="398" t="str">
        <f>IFERROR(VLOOKUP(B48,пр.взв!$B$7:$H$38,4,0),"")</f>
        <v>ПФО</v>
      </c>
      <c r="F48" s="398" t="str">
        <f>IFERROR(VLOOKUP(B48,пр.взв!$B$7:$H$38,5,0),"")</f>
        <v>Р. Татарстан, Казань</v>
      </c>
      <c r="G48" s="403"/>
      <c r="H48" s="403"/>
      <c r="I48" s="304"/>
      <c r="J48" s="414"/>
      <c r="K48" s="457"/>
      <c r="L48" s="459">
        <f>пр.хода!T20</f>
        <v>14</v>
      </c>
      <c r="M48" s="411" t="str">
        <f>IFERROR(VLOOKUP(L48,пр.взв!$B$7:$H$38,2,0),"")</f>
        <v>ПЕРЕПЕЛИЦЫН Даниил Андреевич</v>
      </c>
      <c r="N48" s="398" t="str">
        <f>IFERROR(VLOOKUP(L48,пр.взв!$B$7:$H$38,3,0),"")</f>
        <v>23.02.2002, МС</v>
      </c>
      <c r="O48" s="398" t="str">
        <f>IFERROR(VLOOKUP(L48,пр.взв!$B$7:$H$38,4,0),"")</f>
        <v>ЮФО</v>
      </c>
      <c r="P48" s="398" t="str">
        <f>IFERROR(VLOOKUP(L48,пр.взв!$B$7:$H$38,5,0),"")</f>
        <v>Ростовская, Ростов-на-Дону</v>
      </c>
      <c r="Q48" s="403"/>
      <c r="R48" s="403"/>
      <c r="S48" s="304"/>
      <c r="T48" s="414"/>
    </row>
    <row r="49" spans="1:20" ht="12.95" customHeight="1" thickBot="1">
      <c r="A49" s="420"/>
      <c r="B49" s="460"/>
      <c r="C49" s="412"/>
      <c r="D49" s="399"/>
      <c r="E49" s="399"/>
      <c r="F49" s="399"/>
      <c r="G49" s="404"/>
      <c r="H49" s="404"/>
      <c r="I49" s="413"/>
      <c r="J49" s="415"/>
      <c r="K49" s="458"/>
      <c r="L49" s="460"/>
      <c r="M49" s="412"/>
      <c r="N49" s="399"/>
      <c r="O49" s="399"/>
      <c r="P49" s="399"/>
      <c r="Q49" s="404"/>
      <c r="R49" s="404"/>
      <c r="S49" s="413"/>
      <c r="T49" s="415"/>
    </row>
    <row r="50" spans="1:20" ht="12.75" customHeight="1">
      <c r="A50" s="418">
        <v>3</v>
      </c>
      <c r="B50" s="454">
        <f>пр.хода!E24</f>
        <v>0</v>
      </c>
      <c r="C50" s="430" t="str">
        <f>IFERROR(VLOOKUP(B50,пр.взв!$B$7:$H$38,2,0),"")</f>
        <v/>
      </c>
      <c r="D50" s="396" t="str">
        <f>IFERROR(VLOOKUP(B50,пр.взв!$B$7:$H$38,3,0),"")</f>
        <v/>
      </c>
      <c r="E50" s="396" t="str">
        <f>IFERROR(VLOOKUP(B50,пр.взв!$B$7:$H$38,4,0),"")</f>
        <v/>
      </c>
      <c r="F50" s="396" t="str">
        <f>IFERROR(VLOOKUP(B50,пр.взв!$B$7:$H$38,5,0),"")</f>
        <v/>
      </c>
      <c r="G50" s="432"/>
      <c r="H50" s="435"/>
      <c r="I50" s="433"/>
      <c r="J50" s="434"/>
      <c r="K50" s="456">
        <v>7</v>
      </c>
      <c r="L50" s="454">
        <f>пр.хода!T24</f>
        <v>0</v>
      </c>
      <c r="M50" s="430" t="str">
        <f>IFERROR(VLOOKUP(L50,пр.взв!$B$7:$H$38,2,0),"")</f>
        <v/>
      </c>
      <c r="N50" s="396" t="str">
        <f>IFERROR(VLOOKUP(L50,пр.взв!$B$7:$H$38,3,0),"")</f>
        <v/>
      </c>
      <c r="O50" s="396" t="str">
        <f>IFERROR(VLOOKUP(L50,пр.взв!$B$7:$H$38,4,0),"")</f>
        <v/>
      </c>
      <c r="P50" s="396" t="str">
        <f>IFERROR(VLOOKUP(L50,пр.взв!$B$7:$H$38,5,0),"")</f>
        <v/>
      </c>
      <c r="Q50" s="432"/>
      <c r="R50" s="435"/>
      <c r="S50" s="433"/>
      <c r="T50" s="434"/>
    </row>
    <row r="51" spans="1:20" ht="12.6" customHeight="1">
      <c r="A51" s="419"/>
      <c r="B51" s="455"/>
      <c r="C51" s="431"/>
      <c r="D51" s="397"/>
      <c r="E51" s="397"/>
      <c r="F51" s="397"/>
      <c r="G51" s="401"/>
      <c r="H51" s="401"/>
      <c r="I51" s="406"/>
      <c r="J51" s="408"/>
      <c r="K51" s="457"/>
      <c r="L51" s="455"/>
      <c r="M51" s="431"/>
      <c r="N51" s="397"/>
      <c r="O51" s="397"/>
      <c r="P51" s="397"/>
      <c r="Q51" s="401"/>
      <c r="R51" s="401"/>
      <c r="S51" s="406"/>
      <c r="T51" s="408"/>
    </row>
    <row r="52" spans="1:20" ht="12.75" customHeight="1">
      <c r="A52" s="419"/>
      <c r="B52" s="459">
        <f>пр.хода!E28</f>
        <v>11</v>
      </c>
      <c r="C52" s="411" t="str">
        <f>IFERROR(VLOOKUP(B52,пр.взв!$B$7:$H$38,2,0),"")</f>
        <v>ЛУКАШИН  Игорь Павлович</v>
      </c>
      <c r="D52" s="398" t="str">
        <f>IFERROR(VLOOKUP(B52,пр.взв!$B$7:$H$38,3,0),"")</f>
        <v>11.03.2001, МС</v>
      </c>
      <c r="E52" s="398" t="str">
        <f>IFERROR(VLOOKUP(B52,пр.взв!$B$7:$H$38,4,0),"")</f>
        <v>МОС</v>
      </c>
      <c r="F52" s="398" t="str">
        <f>IFERROR(VLOOKUP(B52,пр.взв!$B$7:$H$38,5,0),"")</f>
        <v>Москва, ВС</v>
      </c>
      <c r="G52" s="403"/>
      <c r="H52" s="403"/>
      <c r="I52" s="304"/>
      <c r="J52" s="414"/>
      <c r="K52" s="457"/>
      <c r="L52" s="459">
        <f>пр.хода!T28</f>
        <v>12</v>
      </c>
      <c r="M52" s="411" t="str">
        <f>IFERROR(VLOOKUP(L52,пр.взв!$B$7:$H$38,2,0),"")</f>
        <v xml:space="preserve">БУШУЕВ  Никита Александрович </v>
      </c>
      <c r="N52" s="398" t="str">
        <f>IFERROR(VLOOKUP(L52,пр.взв!$B$7:$H$38,3,0),"")</f>
        <v>24.07.2003, КМС</v>
      </c>
      <c r="O52" s="398" t="str">
        <f>IFERROR(VLOOKUP(L52,пр.взв!$B$7:$H$38,4,0),"")</f>
        <v>ПФО</v>
      </c>
      <c r="P52" s="398" t="str">
        <f>IFERROR(VLOOKUP(L52,пр.взв!$B$7:$H$38,5,0),"")</f>
        <v>Нижегородская, Нижний Новгород, ЦСКА</v>
      </c>
      <c r="Q52" s="403"/>
      <c r="R52" s="403"/>
      <c r="S52" s="304"/>
      <c r="T52" s="414"/>
    </row>
    <row r="53" spans="1:20" ht="12.95" customHeight="1" thickBot="1">
      <c r="A53" s="420"/>
      <c r="B53" s="460"/>
      <c r="C53" s="412"/>
      <c r="D53" s="399"/>
      <c r="E53" s="399"/>
      <c r="F53" s="399"/>
      <c r="G53" s="404"/>
      <c r="H53" s="404"/>
      <c r="I53" s="413"/>
      <c r="J53" s="415"/>
      <c r="K53" s="458"/>
      <c r="L53" s="460"/>
      <c r="M53" s="412"/>
      <c r="N53" s="399"/>
      <c r="O53" s="399"/>
      <c r="P53" s="399"/>
      <c r="Q53" s="404"/>
      <c r="R53" s="404"/>
      <c r="S53" s="413"/>
      <c r="T53" s="415"/>
    </row>
    <row r="54" spans="1:20" ht="12.75" customHeight="1">
      <c r="A54" s="418">
        <v>4</v>
      </c>
      <c r="B54" s="454">
        <f>пр.хода!E32</f>
        <v>0</v>
      </c>
      <c r="C54" s="430" t="str">
        <f>IFERROR(VLOOKUP(B54,пр.взв!$B$7:$H$38,2,0),"")</f>
        <v/>
      </c>
      <c r="D54" s="396" t="str">
        <f>IFERROR(VLOOKUP(B54,пр.взв!$B$7:$H$38,3,0),"")</f>
        <v/>
      </c>
      <c r="E54" s="396" t="str">
        <f>IFERROR(VLOOKUP(B54,пр.взв!$B$7:$H$38,4,0),"")</f>
        <v/>
      </c>
      <c r="F54" s="396" t="str">
        <f>IFERROR(VLOOKUP(B54,пр.взв!$B$7:$H$38,5,0),"")</f>
        <v/>
      </c>
      <c r="G54" s="400"/>
      <c r="H54" s="402"/>
      <c r="I54" s="405"/>
      <c r="J54" s="429"/>
      <c r="K54" s="456">
        <v>8</v>
      </c>
      <c r="L54" s="454">
        <f>пр.хода!T32</f>
        <v>0</v>
      </c>
      <c r="M54" s="430" t="str">
        <f>IFERROR(VLOOKUP(L54,пр.взв!$B$7:$H$38,2,0),"")</f>
        <v/>
      </c>
      <c r="N54" s="396" t="str">
        <f>IFERROR(VLOOKUP(L54,пр.взв!$B$7:$H$38,3,0),"")</f>
        <v/>
      </c>
      <c r="O54" s="396" t="str">
        <f>IFERROR(VLOOKUP(L54,пр.взв!$B$7:$H$38,4,0),"")</f>
        <v/>
      </c>
      <c r="P54" s="396" t="str">
        <f>IFERROR(VLOOKUP(L54,пр.взв!$B$7:$H$38,5,0),"")</f>
        <v/>
      </c>
      <c r="Q54" s="400"/>
      <c r="R54" s="402"/>
      <c r="S54" s="405"/>
      <c r="T54" s="429"/>
    </row>
    <row r="55" spans="1:20" ht="12.6" customHeight="1">
      <c r="A55" s="419"/>
      <c r="B55" s="455"/>
      <c r="C55" s="431"/>
      <c r="D55" s="397"/>
      <c r="E55" s="397"/>
      <c r="F55" s="397"/>
      <c r="G55" s="401"/>
      <c r="H55" s="401"/>
      <c r="I55" s="406"/>
      <c r="J55" s="408"/>
      <c r="K55" s="457"/>
      <c r="L55" s="455"/>
      <c r="M55" s="431"/>
      <c r="N55" s="397"/>
      <c r="O55" s="397"/>
      <c r="P55" s="397"/>
      <c r="Q55" s="401"/>
      <c r="R55" s="401"/>
      <c r="S55" s="406"/>
      <c r="T55" s="408"/>
    </row>
    <row r="56" spans="1:20" ht="12.75" customHeight="1">
      <c r="A56" s="419"/>
      <c r="B56" s="459">
        <f>пр.хода!E36</f>
        <v>15</v>
      </c>
      <c r="C56" s="411" t="str">
        <f>IFERROR(VLOOKUP(B56,пр.взв!$B$7:$H$38,2,0),"")</f>
        <v>СВИНЧУКОВ  Александр Павлович</v>
      </c>
      <c r="D56" s="394" t="str">
        <f>IFERROR(VLOOKUP(B56,пр.взв!$B$7:$H$38,3,0),"")</f>
        <v>04.02.2003, КМС</v>
      </c>
      <c r="E56" s="394" t="str">
        <f>IFERROR(VLOOKUP(B56,пр.взв!$B$7:$H$38,4,0),"")</f>
        <v>ЦФО</v>
      </c>
      <c r="F56" s="394" t="str">
        <f>IFERROR(VLOOKUP(B56,пр.взв!$B$7:$H$38,5,0),"")</f>
        <v>Брянская, Брянск, ЮР</v>
      </c>
      <c r="G56" s="403"/>
      <c r="H56" s="403"/>
      <c r="I56" s="304"/>
      <c r="J56" s="414"/>
      <c r="K56" s="457"/>
      <c r="L56" s="459">
        <f>пр.хода!T36</f>
        <v>16</v>
      </c>
      <c r="M56" s="411" t="str">
        <f>IFERROR(VLOOKUP(L56,пр.взв!$B$7:$H$38,2,0),"")</f>
        <v xml:space="preserve">ПАСТЕРНАК  Денис Иванович </v>
      </c>
      <c r="N56" s="394" t="str">
        <f>IFERROR(VLOOKUP(L56,пр.взв!$B$7:$H$38,3,0),"")</f>
        <v>16.02.1999, МС</v>
      </c>
      <c r="O56" s="394" t="str">
        <f>IFERROR(VLOOKUP(L56,пр.взв!$B$7:$H$38,4,0),"")</f>
        <v>ЮФО</v>
      </c>
      <c r="P56" s="394" t="str">
        <f>IFERROR(VLOOKUP(L56,пр.взв!$B$7:$H$38,5,0),"")</f>
        <v>Краснодарский, Курганинск, ВС</v>
      </c>
      <c r="Q56" s="403"/>
      <c r="R56" s="403"/>
      <c r="S56" s="304"/>
      <c r="T56" s="414"/>
    </row>
    <row r="57" spans="1:20" ht="12.95" customHeight="1" thickBot="1">
      <c r="A57" s="420"/>
      <c r="B57" s="460"/>
      <c r="C57" s="412"/>
      <c r="D57" s="395"/>
      <c r="E57" s="395"/>
      <c r="F57" s="395"/>
      <c r="G57" s="404"/>
      <c r="H57" s="404"/>
      <c r="I57" s="413"/>
      <c r="J57" s="415"/>
      <c r="K57" s="458"/>
      <c r="L57" s="460"/>
      <c r="M57" s="412"/>
      <c r="N57" s="395"/>
      <c r="O57" s="395"/>
      <c r="P57" s="395"/>
      <c r="Q57" s="404"/>
      <c r="R57" s="404"/>
      <c r="S57" s="413"/>
      <c r="T57" s="415"/>
    </row>
    <row r="58" spans="1:20" ht="15.75">
      <c r="B58" s="288">
        <f>B38</f>
        <v>0</v>
      </c>
      <c r="C58" s="289" t="s">
        <v>111</v>
      </c>
      <c r="D58" s="289"/>
      <c r="E58" s="370"/>
      <c r="F58" s="370"/>
      <c r="G58" s="289"/>
      <c r="H58" s="289"/>
      <c r="I58" s="289"/>
      <c r="J58" s="289"/>
      <c r="L58" s="288">
        <f>L38</f>
        <v>0</v>
      </c>
      <c r="M58" s="289" t="s">
        <v>111</v>
      </c>
      <c r="N58" s="289"/>
      <c r="O58" s="370"/>
      <c r="P58" s="370"/>
      <c r="Q58" s="289"/>
      <c r="R58" s="289"/>
      <c r="S58" s="289"/>
      <c r="T58" s="289"/>
    </row>
    <row r="59" spans="1:20" ht="16.5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В.к.58 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В.к.58  кг.</v>
      </c>
      <c r="R59" s="74"/>
      <c r="S59" s="74"/>
      <c r="T59" s="74"/>
    </row>
    <row r="60" spans="1:20" ht="12.75" customHeight="1">
      <c r="A60" s="372" t="s">
        <v>40</v>
      </c>
      <c r="B60" s="374" t="s">
        <v>4</v>
      </c>
      <c r="C60" s="376" t="s">
        <v>5</v>
      </c>
      <c r="D60" s="378" t="s">
        <v>14</v>
      </c>
      <c r="E60" s="380" t="s">
        <v>15</v>
      </c>
      <c r="F60" s="381"/>
      <c r="G60" s="376" t="s">
        <v>16</v>
      </c>
      <c r="H60" s="384" t="s">
        <v>41</v>
      </c>
      <c r="I60" s="386" t="s">
        <v>17</v>
      </c>
      <c r="J60" s="388" t="s">
        <v>18</v>
      </c>
      <c r="K60" s="372" t="s">
        <v>40</v>
      </c>
      <c r="L60" s="374" t="s">
        <v>4</v>
      </c>
      <c r="M60" s="376" t="s">
        <v>5</v>
      </c>
      <c r="N60" s="378" t="s">
        <v>14</v>
      </c>
      <c r="O60" s="390" t="s">
        <v>15</v>
      </c>
      <c r="P60" s="391"/>
      <c r="Q60" s="376" t="s">
        <v>16</v>
      </c>
      <c r="R60" s="384" t="s">
        <v>41</v>
      </c>
      <c r="S60" s="386" t="s">
        <v>17</v>
      </c>
      <c r="T60" s="388" t="s">
        <v>18</v>
      </c>
    </row>
    <row r="61" spans="1:20" ht="13.5" customHeight="1" thickBot="1">
      <c r="A61" s="373"/>
      <c r="B61" s="375" t="s">
        <v>34</v>
      </c>
      <c r="C61" s="377"/>
      <c r="D61" s="379"/>
      <c r="E61" s="382"/>
      <c r="F61" s="383"/>
      <c r="G61" s="377"/>
      <c r="H61" s="385"/>
      <c r="I61" s="387"/>
      <c r="J61" s="389" t="s">
        <v>35</v>
      </c>
      <c r="K61" s="373"/>
      <c r="L61" s="375" t="s">
        <v>34</v>
      </c>
      <c r="M61" s="377"/>
      <c r="N61" s="379"/>
      <c r="O61" s="392"/>
      <c r="P61" s="393"/>
      <c r="Q61" s="377"/>
      <c r="R61" s="385"/>
      <c r="S61" s="387"/>
      <c r="T61" s="389" t="s">
        <v>35</v>
      </c>
    </row>
    <row r="62" spans="1:20" ht="12.75" customHeight="1">
      <c r="A62" s="461">
        <v>1</v>
      </c>
      <c r="B62" s="454">
        <f>пр.хода!G10</f>
        <v>0</v>
      </c>
      <c r="C62" s="430" t="str">
        <f>IFERROR(VLOOKUP(B62,пр.взв!$B$7:$H$38,2,0),"")</f>
        <v/>
      </c>
      <c r="D62" s="396" t="str">
        <f>IFERROR(VLOOKUP(B62,пр.взв!$B$7:$H$38,3,0),"")</f>
        <v/>
      </c>
      <c r="E62" s="396" t="str">
        <f>IFERROR(VLOOKUP(B62,пр.взв!$B$7:$H$38,4,0),"")</f>
        <v/>
      </c>
      <c r="F62" s="396" t="str">
        <f>IFERROR(VLOOKUP(B62,пр.взв!$B$7:$H$38,5,0),"")</f>
        <v/>
      </c>
      <c r="G62" s="400"/>
      <c r="H62" s="402"/>
      <c r="I62" s="405"/>
      <c r="J62" s="378"/>
      <c r="K62" s="464">
        <v>3</v>
      </c>
      <c r="L62" s="454">
        <f>пр.хода!R10</f>
        <v>0</v>
      </c>
      <c r="M62" s="430" t="str">
        <f>IFERROR(VLOOKUP(L62,пр.взв!$B$7:$H$38,2,0),"")</f>
        <v/>
      </c>
      <c r="N62" s="396" t="str">
        <f>IFERROR(VLOOKUP(L62,пр.взв!$B$7:$H$38,3,0),"")</f>
        <v/>
      </c>
      <c r="O62" s="396" t="str">
        <f>IFERROR(VLOOKUP(L62,пр.взв!$B$7:$H$38,4,0),"")</f>
        <v/>
      </c>
      <c r="P62" s="396" t="str">
        <f>IFERROR(VLOOKUP(L62,пр.взв!$B$7:$H$38,5,0),"")</f>
        <v/>
      </c>
      <c r="Q62" s="400"/>
      <c r="R62" s="402"/>
      <c r="S62" s="405"/>
      <c r="T62" s="378"/>
    </row>
    <row r="63" spans="1:20" ht="12.6" customHeight="1">
      <c r="A63" s="462"/>
      <c r="B63" s="455"/>
      <c r="C63" s="431"/>
      <c r="D63" s="397"/>
      <c r="E63" s="397"/>
      <c r="F63" s="397"/>
      <c r="G63" s="401"/>
      <c r="H63" s="401"/>
      <c r="I63" s="406"/>
      <c r="J63" s="303"/>
      <c r="K63" s="465"/>
      <c r="L63" s="455"/>
      <c r="M63" s="431"/>
      <c r="N63" s="397"/>
      <c r="O63" s="397"/>
      <c r="P63" s="397"/>
      <c r="Q63" s="401"/>
      <c r="R63" s="401"/>
      <c r="S63" s="406"/>
      <c r="T63" s="303"/>
    </row>
    <row r="64" spans="1:20" ht="12.75" customHeight="1">
      <c r="A64" s="462"/>
      <c r="B64" s="459">
        <f>пр.хода!G18</f>
        <v>0</v>
      </c>
      <c r="C64" s="411" t="str">
        <f>IFERROR(VLOOKUP(B64,пр.взв!$B$7:$H$38,2,0),"")</f>
        <v/>
      </c>
      <c r="D64" s="398" t="str">
        <f>IFERROR(VLOOKUP(B64,пр.взв!$B$7:$H$38,3,0),"")</f>
        <v/>
      </c>
      <c r="E64" s="398" t="str">
        <f>IFERROR(VLOOKUP(B64,пр.взв!$B$7:$H$38,4,0),"")</f>
        <v/>
      </c>
      <c r="F64" s="398" t="str">
        <f>IFERROR(VLOOKUP(B64,пр.взв!$B$7:$H$38,5,0),"")</f>
        <v/>
      </c>
      <c r="G64" s="403"/>
      <c r="H64" s="403"/>
      <c r="I64" s="304"/>
      <c r="J64" s="304"/>
      <c r="K64" s="465"/>
      <c r="L64" s="459">
        <f>пр.хода!R18</f>
        <v>0</v>
      </c>
      <c r="M64" s="411" t="str">
        <f>IFERROR(VLOOKUP(L64,пр.взв!$B$7:$H$38,2,0),"")</f>
        <v/>
      </c>
      <c r="N64" s="398" t="str">
        <f>IFERROR(VLOOKUP(L64,пр.взв!$B$7:$H$38,3,0),"")</f>
        <v/>
      </c>
      <c r="O64" s="398" t="str">
        <f>IFERROR(VLOOKUP(L64,пр.взв!$B$7:$H$38,4,0),"")</f>
        <v/>
      </c>
      <c r="P64" s="398" t="str">
        <f>IFERROR(VLOOKUP(L64,пр.взв!$B$7:$H$38,5,0),"")</f>
        <v/>
      </c>
      <c r="Q64" s="403"/>
      <c r="R64" s="403"/>
      <c r="S64" s="304"/>
      <c r="T64" s="304"/>
    </row>
    <row r="65" spans="1:20" ht="12.95" customHeight="1" thickBot="1">
      <c r="A65" s="463"/>
      <c r="B65" s="460"/>
      <c r="C65" s="412"/>
      <c r="D65" s="399"/>
      <c r="E65" s="399"/>
      <c r="F65" s="399"/>
      <c r="G65" s="404"/>
      <c r="H65" s="404"/>
      <c r="I65" s="413"/>
      <c r="J65" s="413"/>
      <c r="K65" s="466"/>
      <c r="L65" s="460"/>
      <c r="M65" s="412"/>
      <c r="N65" s="399"/>
      <c r="O65" s="399"/>
      <c r="P65" s="399"/>
      <c r="Q65" s="404"/>
      <c r="R65" s="404"/>
      <c r="S65" s="413"/>
      <c r="T65" s="413"/>
    </row>
    <row r="66" spans="1:20" ht="12.75" customHeight="1">
      <c r="A66" s="461">
        <v>2</v>
      </c>
      <c r="B66" s="454">
        <f>пр.хода!G26</f>
        <v>0</v>
      </c>
      <c r="C66" s="430" t="str">
        <f>IFERROR(VLOOKUP(B66,пр.взв!$B$7:$H$38,2,0),"")</f>
        <v/>
      </c>
      <c r="D66" s="396" t="str">
        <f>IFERROR(VLOOKUP(B66,пр.взв!$B$7:$H$38,3,0),"")</f>
        <v/>
      </c>
      <c r="E66" s="396" t="str">
        <f>IFERROR(VLOOKUP(B66,пр.взв!$B$7:$H$38,4,0),"")</f>
        <v/>
      </c>
      <c r="F66" s="396" t="str">
        <f>IFERROR(VLOOKUP(B66,пр.взв!$B$7:$H$38,5,0),"")</f>
        <v/>
      </c>
      <c r="G66" s="400"/>
      <c r="H66" s="402"/>
      <c r="I66" s="405"/>
      <c r="J66" s="425"/>
      <c r="K66" s="464">
        <v>4</v>
      </c>
      <c r="L66" s="454">
        <f>пр.хода!R26</f>
        <v>0</v>
      </c>
      <c r="M66" s="430" t="str">
        <f>IFERROR(VLOOKUP(L66,пр.взв!$B$7:$H$38,2,0),"")</f>
        <v/>
      </c>
      <c r="N66" s="396" t="str">
        <f>IFERROR(VLOOKUP(L66,пр.взв!$B$7:$H$38,3,0),"")</f>
        <v/>
      </c>
      <c r="O66" s="396" t="str">
        <f>IFERROR(VLOOKUP(L66,пр.взв!$B$7:$H$38,4,0),"")</f>
        <v/>
      </c>
      <c r="P66" s="396" t="str">
        <f>IFERROR(VLOOKUP(L66,пр.взв!$B$7:$H$38,5,0),"")</f>
        <v/>
      </c>
      <c r="Q66" s="400"/>
      <c r="R66" s="402"/>
      <c r="S66" s="405"/>
      <c r="T66" s="425"/>
    </row>
    <row r="67" spans="1:20" ht="12.6" customHeight="1">
      <c r="A67" s="462"/>
      <c r="B67" s="455"/>
      <c r="C67" s="431"/>
      <c r="D67" s="397"/>
      <c r="E67" s="397"/>
      <c r="F67" s="397"/>
      <c r="G67" s="401"/>
      <c r="H67" s="401"/>
      <c r="I67" s="406"/>
      <c r="J67" s="303"/>
      <c r="K67" s="465"/>
      <c r="L67" s="455"/>
      <c r="M67" s="431"/>
      <c r="N67" s="397"/>
      <c r="O67" s="397"/>
      <c r="P67" s="397"/>
      <c r="Q67" s="401"/>
      <c r="R67" s="401"/>
      <c r="S67" s="406"/>
      <c r="T67" s="303"/>
    </row>
    <row r="68" spans="1:20" ht="12.75" customHeight="1">
      <c r="A68" s="462"/>
      <c r="B68" s="459">
        <f>пр.хода!G34</f>
        <v>0</v>
      </c>
      <c r="C68" s="411" t="str">
        <f>IFERROR(VLOOKUP(B68,пр.взв!$B$7:$H$38,2,0),"")</f>
        <v/>
      </c>
      <c r="D68" s="394" t="str">
        <f>IFERROR(VLOOKUP(B68,пр.взв!$B$7:$H$38,3,0),"")</f>
        <v/>
      </c>
      <c r="E68" s="394" t="str">
        <f>IFERROR(VLOOKUP(B68,пр.взв!$B$7:$H$38,4,0),"")</f>
        <v/>
      </c>
      <c r="F68" s="394" t="str">
        <f>IFERROR(VLOOKUP(B68,пр.взв!$B$7:$H$38,5,0),"")</f>
        <v/>
      </c>
      <c r="G68" s="403"/>
      <c r="H68" s="403"/>
      <c r="I68" s="304"/>
      <c r="J68" s="304"/>
      <c r="K68" s="465"/>
      <c r="L68" s="459">
        <f>пр.хода!R34</f>
        <v>0</v>
      </c>
      <c r="M68" s="411" t="str">
        <f>IFERROR(VLOOKUP(L68,пр.взв!$B$7:$H$38,2,0),"")</f>
        <v/>
      </c>
      <c r="N68" s="394" t="str">
        <f>IFERROR(VLOOKUP(L68,пр.взв!$B$7:$H$38,3,0),"")</f>
        <v/>
      </c>
      <c r="O68" s="394" t="str">
        <f>IFERROR(VLOOKUP(L68,пр.взв!$B$7:$H$38,4,0),"")</f>
        <v/>
      </c>
      <c r="P68" s="394" t="str">
        <f>IFERROR(VLOOKUP(L68,пр.взв!$B$7:$H$38,5,0),"")</f>
        <v/>
      </c>
      <c r="Q68" s="403"/>
      <c r="R68" s="403"/>
      <c r="S68" s="304"/>
      <c r="T68" s="304"/>
    </row>
    <row r="69" spans="1:20" ht="12.95" customHeight="1" thickBot="1">
      <c r="A69" s="463"/>
      <c r="B69" s="460"/>
      <c r="C69" s="412"/>
      <c r="D69" s="395"/>
      <c r="E69" s="395"/>
      <c r="F69" s="395"/>
      <c r="G69" s="404"/>
      <c r="H69" s="404"/>
      <c r="I69" s="413"/>
      <c r="J69" s="413"/>
      <c r="K69" s="466"/>
      <c r="L69" s="460"/>
      <c r="M69" s="412"/>
      <c r="N69" s="395"/>
      <c r="O69" s="395"/>
      <c r="P69" s="395"/>
      <c r="Q69" s="404"/>
      <c r="R69" s="404"/>
      <c r="S69" s="413"/>
      <c r="T69" s="413"/>
    </row>
    <row r="70" spans="1:20" ht="15.75">
      <c r="B70" s="288">
        <f>B58</f>
        <v>0</v>
      </c>
      <c r="C70" s="289" t="s">
        <v>111</v>
      </c>
      <c r="D70" s="289"/>
      <c r="E70" s="370"/>
      <c r="F70" s="370"/>
      <c r="G70" s="289"/>
      <c r="H70" s="289"/>
      <c r="I70" s="289"/>
      <c r="J70" s="289"/>
      <c r="L70" s="288">
        <f>L58</f>
        <v>0</v>
      </c>
      <c r="M70" s="289" t="s">
        <v>111</v>
      </c>
      <c r="N70" s="289"/>
      <c r="O70" s="370"/>
      <c r="P70" s="370"/>
      <c r="Q70" s="289"/>
      <c r="R70" s="289"/>
      <c r="S70" s="289"/>
      <c r="T70" s="289"/>
    </row>
    <row r="71" spans="1:20" ht="16.5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В.к.58 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В.к.58  кг.</v>
      </c>
      <c r="R71" s="76"/>
      <c r="S71" s="76"/>
      <c r="T71" s="76"/>
    </row>
    <row r="72" spans="1:20" ht="12.75" customHeight="1">
      <c r="A72" s="372" t="s">
        <v>40</v>
      </c>
      <c r="B72" s="374" t="s">
        <v>4</v>
      </c>
      <c r="C72" s="376" t="s">
        <v>5</v>
      </c>
      <c r="D72" s="378" t="s">
        <v>14</v>
      </c>
      <c r="E72" s="380" t="s">
        <v>15</v>
      </c>
      <c r="F72" s="381"/>
      <c r="G72" s="376" t="s">
        <v>16</v>
      </c>
      <c r="H72" s="384" t="s">
        <v>41</v>
      </c>
      <c r="I72" s="386" t="s">
        <v>17</v>
      </c>
      <c r="J72" s="388" t="s">
        <v>18</v>
      </c>
      <c r="K72" s="372" t="s">
        <v>40</v>
      </c>
      <c r="L72" s="374" t="s">
        <v>4</v>
      </c>
      <c r="M72" s="376" t="s">
        <v>5</v>
      </c>
      <c r="N72" s="378" t="s">
        <v>14</v>
      </c>
      <c r="O72" s="390" t="s">
        <v>15</v>
      </c>
      <c r="P72" s="391"/>
      <c r="Q72" s="376" t="s">
        <v>16</v>
      </c>
      <c r="R72" s="384" t="s">
        <v>41</v>
      </c>
      <c r="S72" s="386" t="s">
        <v>17</v>
      </c>
      <c r="T72" s="388" t="s">
        <v>18</v>
      </c>
    </row>
    <row r="73" spans="1:20" ht="13.5" customHeight="1" thickBot="1">
      <c r="A73" s="373"/>
      <c r="B73" s="375" t="s">
        <v>34</v>
      </c>
      <c r="C73" s="377"/>
      <c r="D73" s="379"/>
      <c r="E73" s="382"/>
      <c r="F73" s="383"/>
      <c r="G73" s="377"/>
      <c r="H73" s="385"/>
      <c r="I73" s="387"/>
      <c r="J73" s="389" t="s">
        <v>35</v>
      </c>
      <c r="K73" s="373"/>
      <c r="L73" s="375" t="s">
        <v>34</v>
      </c>
      <c r="M73" s="377"/>
      <c r="N73" s="379"/>
      <c r="O73" s="392"/>
      <c r="P73" s="393"/>
      <c r="Q73" s="377"/>
      <c r="R73" s="385"/>
      <c r="S73" s="387"/>
      <c r="T73" s="389" t="s">
        <v>35</v>
      </c>
    </row>
    <row r="74" spans="1:20" ht="12.75" customHeight="1">
      <c r="A74" s="467">
        <v>1</v>
      </c>
      <c r="B74" s="470">
        <f>пр.хода!I14</f>
        <v>0</v>
      </c>
      <c r="C74" s="430" t="str">
        <f>IFERROR(VLOOKUP(B74,пр.взв!$B$7:$H$38,2,0),"")</f>
        <v/>
      </c>
      <c r="D74" s="396" t="str">
        <f>IFERROR(VLOOKUP(B74,пр.взв!$B$7:$H$38,3,0),"")</f>
        <v/>
      </c>
      <c r="E74" s="396" t="str">
        <f>IFERROR(VLOOKUP(B74,пр.взв!$B$7:$H$38,4,0),"")</f>
        <v/>
      </c>
      <c r="F74" s="396" t="str">
        <f>IFERROR(VLOOKUP(B74,пр.взв!$B$7:$H$38,5,0),"")</f>
        <v/>
      </c>
      <c r="G74" s="400"/>
      <c r="H74" s="402"/>
      <c r="I74" s="405"/>
      <c r="J74" s="378"/>
      <c r="K74" s="467">
        <v>2</v>
      </c>
      <c r="L74" s="470">
        <f>пр.хода!P14</f>
        <v>0</v>
      </c>
      <c r="M74" s="430" t="str">
        <f>IFERROR(VLOOKUP(L74,пр.взв!$B$7:$H$38,2,0),"")</f>
        <v/>
      </c>
      <c r="N74" s="396" t="str">
        <f>IFERROR(VLOOKUP(L74,пр.взв!$B$7:$H$38,3,0),"")</f>
        <v/>
      </c>
      <c r="O74" s="396" t="str">
        <f>IFERROR(VLOOKUP(L74,пр.взв!$B$7:$H$38,4,0),"")</f>
        <v/>
      </c>
      <c r="P74" s="396" t="str">
        <f>IFERROR(VLOOKUP(L74,пр.взв!$B$7:$H$38,5,0),"")</f>
        <v/>
      </c>
      <c r="Q74" s="400"/>
      <c r="R74" s="402"/>
      <c r="S74" s="405"/>
      <c r="T74" s="378"/>
    </row>
    <row r="75" spans="1:20" ht="12.6" customHeight="1">
      <c r="A75" s="468"/>
      <c r="B75" s="471"/>
      <c r="C75" s="431"/>
      <c r="D75" s="397"/>
      <c r="E75" s="397"/>
      <c r="F75" s="397"/>
      <c r="G75" s="401"/>
      <c r="H75" s="401"/>
      <c r="I75" s="406"/>
      <c r="J75" s="303"/>
      <c r="K75" s="468"/>
      <c r="L75" s="471"/>
      <c r="M75" s="431"/>
      <c r="N75" s="397"/>
      <c r="O75" s="397"/>
      <c r="P75" s="397"/>
      <c r="Q75" s="401"/>
      <c r="R75" s="401"/>
      <c r="S75" s="406"/>
      <c r="T75" s="303"/>
    </row>
    <row r="76" spans="1:20" ht="12.75" customHeight="1">
      <c r="A76" s="468"/>
      <c r="B76" s="474">
        <f>пр.хода!I30</f>
        <v>0</v>
      </c>
      <c r="C76" s="411" t="str">
        <f>IFERROR(VLOOKUP(B76,пр.взв!$B$7:$H$38,2,0),"")</f>
        <v/>
      </c>
      <c r="D76" s="394" t="str">
        <f>IFERROR(VLOOKUP(B76,пр.взв!$B$7:$H$38,3,0),"")</f>
        <v/>
      </c>
      <c r="E76" s="394" t="str">
        <f>IFERROR(VLOOKUP(B76,пр.взв!$B$7:$H$38,4,0),"")</f>
        <v/>
      </c>
      <c r="F76" s="394" t="str">
        <f>IFERROR(VLOOKUP(B76,пр.взв!$B$7:$H$38,5,0),"")</f>
        <v/>
      </c>
      <c r="G76" s="403"/>
      <c r="H76" s="403"/>
      <c r="I76" s="304"/>
      <c r="J76" s="304"/>
      <c r="K76" s="468"/>
      <c r="L76" s="472">
        <f>пр.хода!P30</f>
        <v>0</v>
      </c>
      <c r="M76" s="411" t="str">
        <f>IFERROR(VLOOKUP(L76,пр.взв!$B$7:$H$38,2,0),"")</f>
        <v/>
      </c>
      <c r="N76" s="394" t="str">
        <f>IFERROR(VLOOKUP(L76,пр.взв!$B$7:$H$38,3,0),"")</f>
        <v/>
      </c>
      <c r="O76" s="394" t="str">
        <f>IFERROR(VLOOKUP(L76,пр.взв!$B$7:$H$38,4,0),"")</f>
        <v/>
      </c>
      <c r="P76" s="394" t="str">
        <f>IFERROR(VLOOKUP(L76,пр.взв!$B$7:$H$38,5,0),"")</f>
        <v/>
      </c>
      <c r="Q76" s="403"/>
      <c r="R76" s="403"/>
      <c r="S76" s="304"/>
      <c r="T76" s="304"/>
    </row>
    <row r="77" spans="1:20" ht="12.75" customHeight="1" thickBot="1">
      <c r="A77" s="469"/>
      <c r="B77" s="475"/>
      <c r="C77" s="412"/>
      <c r="D77" s="395"/>
      <c r="E77" s="395"/>
      <c r="F77" s="395"/>
      <c r="G77" s="404"/>
      <c r="H77" s="404"/>
      <c r="I77" s="413"/>
      <c r="J77" s="413"/>
      <c r="K77" s="469"/>
      <c r="L77" s="473"/>
      <c r="M77" s="412"/>
      <c r="N77" s="395"/>
      <c r="O77" s="395"/>
      <c r="P77" s="395"/>
      <c r="Q77" s="404"/>
      <c r="R77" s="404"/>
      <c r="S77" s="413"/>
      <c r="T77" s="413"/>
    </row>
    <row r="78" spans="1:20" ht="15.75">
      <c r="B78" s="288">
        <f>B70</f>
        <v>0</v>
      </c>
      <c r="C78" s="289" t="s">
        <v>111</v>
      </c>
      <c r="D78" s="289"/>
      <c r="E78" s="370"/>
      <c r="F78" s="370"/>
      <c r="G78" s="289"/>
      <c r="H78" s="289"/>
      <c r="I78" s="289"/>
      <c r="J78" s="289"/>
      <c r="L78" s="288">
        <f>L70</f>
        <v>0</v>
      </c>
      <c r="M78" s="289" t="s">
        <v>111</v>
      </c>
      <c r="N78" s="289"/>
      <c r="O78" s="370"/>
      <c r="P78" s="370"/>
      <c r="Q78" s="289"/>
      <c r="R78" s="289"/>
      <c r="S78" s="289"/>
      <c r="T78" s="289"/>
    </row>
    <row r="79" spans="1:20" ht="15">
      <c r="A79" s="371" t="s">
        <v>112</v>
      </c>
      <c r="B79" s="371"/>
      <c r="C79" s="371"/>
      <c r="D79" s="371"/>
      <c r="E79" s="371"/>
      <c r="F79" s="371"/>
      <c r="G79" s="371"/>
      <c r="H79" s="371"/>
      <c r="I79" s="371"/>
      <c r="J79" s="371"/>
      <c r="K79" s="371" t="s">
        <v>112</v>
      </c>
      <c r="L79" s="371"/>
      <c r="M79" s="371"/>
      <c r="N79" s="371"/>
      <c r="O79" s="371"/>
      <c r="P79" s="371"/>
      <c r="Q79" s="371"/>
      <c r="R79" s="371"/>
      <c r="S79" s="371"/>
      <c r="T79" s="371"/>
    </row>
    <row r="80" spans="1:20" ht="16.5" thickBot="1">
      <c r="B80" s="72" t="s">
        <v>31</v>
      </c>
      <c r="C80" s="78"/>
      <c r="D80" s="78"/>
      <c r="E80" s="78"/>
      <c r="F80" s="78"/>
      <c r="G80" s="79" t="str">
        <f>пр.взв!D4</f>
        <v>В.к.58 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В.к.58  кг.</v>
      </c>
      <c r="R80" s="75"/>
      <c r="S80" s="75"/>
      <c r="T80" s="75"/>
    </row>
    <row r="81" spans="1:20" ht="12.75" customHeight="1">
      <c r="A81" s="372" t="s">
        <v>40</v>
      </c>
      <c r="B81" s="374" t="s">
        <v>4</v>
      </c>
      <c r="C81" s="376" t="s">
        <v>5</v>
      </c>
      <c r="D81" s="378" t="s">
        <v>14</v>
      </c>
      <c r="E81" s="380" t="s">
        <v>15</v>
      </c>
      <c r="F81" s="381"/>
      <c r="G81" s="376" t="s">
        <v>16</v>
      </c>
      <c r="H81" s="384" t="s">
        <v>41</v>
      </c>
      <c r="I81" s="386" t="s">
        <v>17</v>
      </c>
      <c r="J81" s="388" t="s">
        <v>18</v>
      </c>
      <c r="K81" s="372" t="s">
        <v>40</v>
      </c>
      <c r="L81" s="374" t="s">
        <v>4</v>
      </c>
      <c r="M81" s="376" t="s">
        <v>5</v>
      </c>
      <c r="N81" s="378" t="s">
        <v>14</v>
      </c>
      <c r="O81" s="390" t="s">
        <v>15</v>
      </c>
      <c r="P81" s="391"/>
      <c r="Q81" s="376" t="s">
        <v>16</v>
      </c>
      <c r="R81" s="384" t="s">
        <v>41</v>
      </c>
      <c r="S81" s="386" t="s">
        <v>17</v>
      </c>
      <c r="T81" s="388" t="s">
        <v>18</v>
      </c>
    </row>
    <row r="82" spans="1:20" ht="13.5" customHeight="1" thickBot="1">
      <c r="A82" s="373"/>
      <c r="B82" s="375" t="s">
        <v>34</v>
      </c>
      <c r="C82" s="377"/>
      <c r="D82" s="379"/>
      <c r="E82" s="382"/>
      <c r="F82" s="383"/>
      <c r="G82" s="377"/>
      <c r="H82" s="385"/>
      <c r="I82" s="387"/>
      <c r="J82" s="389" t="s">
        <v>35</v>
      </c>
      <c r="K82" s="373"/>
      <c r="L82" s="375" t="s">
        <v>34</v>
      </c>
      <c r="M82" s="377"/>
      <c r="N82" s="379"/>
      <c r="O82" s="392"/>
      <c r="P82" s="393"/>
      <c r="Q82" s="377"/>
      <c r="R82" s="385"/>
      <c r="S82" s="387"/>
      <c r="T82" s="389" t="s">
        <v>35</v>
      </c>
    </row>
    <row r="83" spans="1:20" ht="12.75" customHeight="1">
      <c r="A83" s="464">
        <v>1</v>
      </c>
      <c r="B83" s="478" t="str">
        <f>пр.хода!K5</f>
        <v xml:space="preserve"> </v>
      </c>
      <c r="C83" s="430" t="str">
        <f>IFERROR(VLOOKUP(B83,пр.взв!$B$7:$H$38,2,0),"")</f>
        <v/>
      </c>
      <c r="D83" s="396" t="str">
        <f>IFERROR(VLOOKUP(B83,пр.взв!$B$7:$H$38,3,0),"")</f>
        <v/>
      </c>
      <c r="E83" s="396" t="str">
        <f>IFERROR(VLOOKUP(B83,пр.взв!$B$7:$H$38,4,0),"")</f>
        <v/>
      </c>
      <c r="F83" s="396" t="str">
        <f>IFERROR(VLOOKUP(B83,пр.взв!$B$7:$H$38,5,0),"")</f>
        <v/>
      </c>
      <c r="G83" s="400"/>
      <c r="H83" s="402"/>
      <c r="I83" s="405"/>
      <c r="J83" s="378"/>
      <c r="K83" s="464">
        <v>3</v>
      </c>
      <c r="L83" s="478" t="str">
        <f>пр.хода!K33</f>
        <v xml:space="preserve"> </v>
      </c>
      <c r="M83" s="430" t="str">
        <f>IFERROR(VLOOKUP(L83,пр.взв!$B$7:$H$38,2,0),"")</f>
        <v/>
      </c>
      <c r="N83" s="396" t="str">
        <f>IFERROR(VLOOKUP(L83,пр.взв!$B$7:$H$38,3,0),"")</f>
        <v/>
      </c>
      <c r="O83" s="396" t="str">
        <f>IFERROR(VLOOKUP(L83,пр.взв!$B$7:$H$38,4,0),"")</f>
        <v/>
      </c>
      <c r="P83" s="396" t="str">
        <f>IFERROR(VLOOKUP(L83,пр.взв!$B$7:$H$38,5,0),"")</f>
        <v/>
      </c>
      <c r="Q83" s="479"/>
      <c r="R83" s="480"/>
      <c r="S83" s="481"/>
      <c r="T83" s="482"/>
    </row>
    <row r="84" spans="1:20" ht="12.75" customHeight="1">
      <c r="A84" s="465"/>
      <c r="B84" s="471"/>
      <c r="C84" s="431"/>
      <c r="D84" s="397"/>
      <c r="E84" s="397"/>
      <c r="F84" s="397"/>
      <c r="G84" s="401"/>
      <c r="H84" s="401"/>
      <c r="I84" s="406"/>
      <c r="J84" s="303"/>
      <c r="K84" s="465"/>
      <c r="L84" s="471"/>
      <c r="M84" s="431"/>
      <c r="N84" s="397"/>
      <c r="O84" s="397"/>
      <c r="P84" s="397"/>
      <c r="Q84" s="432"/>
      <c r="R84" s="435"/>
      <c r="S84" s="433"/>
      <c r="T84" s="483"/>
    </row>
    <row r="85" spans="1:20" ht="12.75" customHeight="1">
      <c r="A85" s="465"/>
      <c r="B85" s="476" t="str">
        <f>пр.хода!K7</f>
        <v xml:space="preserve"> </v>
      </c>
      <c r="C85" s="411" t="str">
        <f>IFERROR(VLOOKUP(B85,пр.взв!$B$7:$H$38,2,0),"")</f>
        <v/>
      </c>
      <c r="D85" s="398" t="str">
        <f>IFERROR(VLOOKUP(B85,пр.взв!$B$7:$H$38,3,0),"")</f>
        <v/>
      </c>
      <c r="E85" s="398" t="str">
        <f>IFERROR(VLOOKUP(B85,пр.взв!$B$7:$H$38,4,0),"")</f>
        <v/>
      </c>
      <c r="F85" s="398" t="str">
        <f>IFERROR(VLOOKUP(B85,пр.взв!$B$7:$H$38,5,0),"")</f>
        <v/>
      </c>
      <c r="G85" s="403"/>
      <c r="H85" s="403"/>
      <c r="I85" s="304"/>
      <c r="J85" s="304"/>
      <c r="K85" s="465"/>
      <c r="L85" s="476" t="str">
        <f>пр.хода!K35</f>
        <v xml:space="preserve"> </v>
      </c>
      <c r="M85" s="411" t="str">
        <f>IFERROR(VLOOKUP(L85,пр.взв!$B$7:$H$38,2,0),"")</f>
        <v/>
      </c>
      <c r="N85" s="398" t="str">
        <f>IFERROR(VLOOKUP(L85,пр.взв!$B$7:$H$38,3,0),"")</f>
        <v/>
      </c>
      <c r="O85" s="398" t="str">
        <f>IFERROR(VLOOKUP(L85,пр.взв!$B$7:$H$38,4,0),"")</f>
        <v/>
      </c>
      <c r="P85" s="398" t="str">
        <f>IFERROR(VLOOKUP(L85,пр.взв!$B$7:$H$38,5,0),"")</f>
        <v/>
      </c>
      <c r="Q85" s="403"/>
      <c r="R85" s="403"/>
      <c r="S85" s="304"/>
      <c r="T85" s="304"/>
    </row>
    <row r="86" spans="1:20" ht="13.5" customHeight="1" thickBot="1">
      <c r="A86" s="477"/>
      <c r="B86" s="473"/>
      <c r="C86" s="412"/>
      <c r="D86" s="399"/>
      <c r="E86" s="399"/>
      <c r="F86" s="399"/>
      <c r="G86" s="404"/>
      <c r="H86" s="404"/>
      <c r="I86" s="413"/>
      <c r="J86" s="413"/>
      <c r="K86" s="477"/>
      <c r="L86" s="473"/>
      <c r="M86" s="412"/>
      <c r="N86" s="399"/>
      <c r="O86" s="399"/>
      <c r="P86" s="399"/>
      <c r="Q86" s="404"/>
      <c r="R86" s="404"/>
      <c r="S86" s="413"/>
      <c r="T86" s="413"/>
    </row>
    <row r="87" spans="1:20" ht="12.75" customHeight="1">
      <c r="A87" s="464">
        <v>2</v>
      </c>
      <c r="B87" s="484" t="str">
        <f>пр.хода!K9</f>
        <v xml:space="preserve"> </v>
      </c>
      <c r="C87" s="430" t="str">
        <f>IFERROR(VLOOKUP(B87,пр.взв!$B$7:$H$38,2,0),"")</f>
        <v/>
      </c>
      <c r="D87" s="396" t="str">
        <f>IFERROR(VLOOKUP(B87,пр.взв!$B$7:$H$38,3,0),"")</f>
        <v/>
      </c>
      <c r="E87" s="396" t="str">
        <f>IFERROR(VLOOKUP(B87,пр.взв!$B$7:$H$38,4,0),"")</f>
        <v/>
      </c>
      <c r="F87" s="396" t="str">
        <f>IFERROR(VLOOKUP(B87,пр.взв!$B$7:$H$38,5,0),"")</f>
        <v/>
      </c>
      <c r="G87" s="400"/>
      <c r="H87" s="402"/>
      <c r="I87" s="405"/>
      <c r="J87" s="378"/>
      <c r="K87" s="464">
        <v>4</v>
      </c>
      <c r="L87" s="484" t="str">
        <f>пр.хода!K37</f>
        <v xml:space="preserve"> </v>
      </c>
      <c r="M87" s="430" t="str">
        <f>IFERROR(VLOOKUP(L87,пр.взв!$B$7:$H$38,2,0),"")</f>
        <v/>
      </c>
      <c r="N87" s="396" t="str">
        <f>IFERROR(VLOOKUP(L87,пр.взв!$B$7:$H$38,3,0),"")</f>
        <v/>
      </c>
      <c r="O87" s="396" t="str">
        <f>IFERROR(VLOOKUP(L87,пр.взв!$B$7:$H$38,4,0),"")</f>
        <v/>
      </c>
      <c r="P87" s="396" t="str">
        <f>IFERROR(VLOOKUP(L87,пр.взв!$B$7:$H$38,5,0),"")</f>
        <v/>
      </c>
      <c r="Q87" s="479"/>
      <c r="R87" s="480"/>
      <c r="S87" s="481"/>
      <c r="T87" s="482"/>
    </row>
    <row r="88" spans="1:20" ht="12.75" customHeight="1">
      <c r="A88" s="465"/>
      <c r="B88" s="471"/>
      <c r="C88" s="431"/>
      <c r="D88" s="397"/>
      <c r="E88" s="397"/>
      <c r="F88" s="397"/>
      <c r="G88" s="401"/>
      <c r="H88" s="401"/>
      <c r="I88" s="406"/>
      <c r="J88" s="303"/>
      <c r="K88" s="465"/>
      <c r="L88" s="471"/>
      <c r="M88" s="431"/>
      <c r="N88" s="397"/>
      <c r="O88" s="397"/>
      <c r="P88" s="397"/>
      <c r="Q88" s="432"/>
      <c r="R88" s="435"/>
      <c r="S88" s="433"/>
      <c r="T88" s="483"/>
    </row>
    <row r="89" spans="1:20" ht="12.75" customHeight="1">
      <c r="A89" s="465"/>
      <c r="B89" s="476" t="str">
        <f>пр.хода!K11</f>
        <v xml:space="preserve"> </v>
      </c>
      <c r="C89" s="411" t="str">
        <f>IFERROR(VLOOKUP(B89,пр.взв!$B$7:$H$38,2,0),"")</f>
        <v/>
      </c>
      <c r="D89" s="394" t="str">
        <f>IFERROR(VLOOKUP(B89,пр.взв!$B$7:$H$38,3,0),"")</f>
        <v/>
      </c>
      <c r="E89" s="394" t="str">
        <f>IFERROR(VLOOKUP(B89,пр.взв!$B$7:$H$38,4,0),"")</f>
        <v/>
      </c>
      <c r="F89" s="394" t="str">
        <f>IFERROR(VLOOKUP(B89,пр.взв!$B$7:$H$38,5,0),"")</f>
        <v/>
      </c>
      <c r="G89" s="403"/>
      <c r="H89" s="403"/>
      <c r="I89" s="304"/>
      <c r="J89" s="304"/>
      <c r="K89" s="465"/>
      <c r="L89" s="476" t="str">
        <f>пр.хода!K39</f>
        <v xml:space="preserve"> </v>
      </c>
      <c r="M89" s="411" t="str">
        <f>IFERROR(VLOOKUP(L89,пр.взв!$B$7:$H$38,2,0),"")</f>
        <v/>
      </c>
      <c r="N89" s="394" t="str">
        <f>IFERROR(VLOOKUP(L89,пр.взв!$B$7:$H$38,3,0),"")</f>
        <v/>
      </c>
      <c r="O89" s="394" t="str">
        <f>IFERROR(VLOOKUP(L89,пр.взв!$B$7:$H$38,4,0),"")</f>
        <v/>
      </c>
      <c r="P89" s="394" t="str">
        <f>IFERROR(VLOOKUP(L89,пр.взв!$B$7:$H$38,5,0),"")</f>
        <v/>
      </c>
      <c r="Q89" s="403"/>
      <c r="R89" s="403"/>
      <c r="S89" s="304"/>
      <c r="T89" s="304"/>
    </row>
    <row r="90" spans="1:20" ht="12.75" customHeight="1" thickBot="1">
      <c r="A90" s="466"/>
      <c r="B90" s="473"/>
      <c r="C90" s="412"/>
      <c r="D90" s="395"/>
      <c r="E90" s="395"/>
      <c r="F90" s="395"/>
      <c r="G90" s="404"/>
      <c r="H90" s="404"/>
      <c r="I90" s="413"/>
      <c r="J90" s="413"/>
      <c r="K90" s="466"/>
      <c r="L90" s="473"/>
      <c r="M90" s="412"/>
      <c r="N90" s="395"/>
      <c r="O90" s="395"/>
      <c r="P90" s="395"/>
      <c r="Q90" s="404"/>
      <c r="R90" s="404"/>
      <c r="S90" s="413"/>
      <c r="T90" s="413"/>
    </row>
    <row r="91" spans="1:20" ht="12.75" customHeight="1">
      <c r="B91" s="288">
        <f>B78</f>
        <v>0</v>
      </c>
      <c r="C91" s="289" t="s">
        <v>111</v>
      </c>
      <c r="D91" s="289"/>
      <c r="E91" s="370"/>
      <c r="F91" s="370"/>
      <c r="G91" s="289"/>
      <c r="H91" s="289"/>
      <c r="I91" s="289"/>
      <c r="J91" s="289"/>
      <c r="L91" s="288">
        <f>L78</f>
        <v>0</v>
      </c>
      <c r="M91" s="289" t="s">
        <v>111</v>
      </c>
      <c r="N91" s="289"/>
      <c r="O91" s="370"/>
      <c r="P91" s="370"/>
      <c r="Q91" s="289"/>
      <c r="R91" s="289"/>
      <c r="S91" s="289"/>
      <c r="T91" s="289"/>
    </row>
    <row r="92" spans="1:20" ht="12.75" customHeight="1">
      <c r="A92" s="371" t="s">
        <v>113</v>
      </c>
      <c r="B92" s="371"/>
      <c r="C92" s="371"/>
      <c r="D92" s="371"/>
      <c r="E92" s="371"/>
      <c r="F92" s="371"/>
      <c r="G92" s="371"/>
      <c r="H92" s="371"/>
      <c r="I92" s="371"/>
      <c r="J92" s="371"/>
      <c r="K92" s="371" t="s">
        <v>113</v>
      </c>
      <c r="L92" s="371"/>
      <c r="M92" s="371"/>
      <c r="N92" s="371"/>
      <c r="O92" s="371"/>
      <c r="P92" s="371"/>
      <c r="Q92" s="371"/>
      <c r="R92" s="371"/>
      <c r="S92" s="371"/>
      <c r="T92" s="371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В.к.58 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В.к.58  кг.</v>
      </c>
      <c r="R93" s="75"/>
      <c r="S93" s="75"/>
      <c r="T93" s="75"/>
    </row>
    <row r="94" spans="1:20" ht="12.75" customHeight="1">
      <c r="A94" s="372" t="s">
        <v>40</v>
      </c>
      <c r="B94" s="374" t="s">
        <v>4</v>
      </c>
      <c r="C94" s="376" t="s">
        <v>5</v>
      </c>
      <c r="D94" s="378" t="s">
        <v>14</v>
      </c>
      <c r="E94" s="380" t="s">
        <v>15</v>
      </c>
      <c r="F94" s="381"/>
      <c r="G94" s="376" t="s">
        <v>16</v>
      </c>
      <c r="H94" s="384" t="s">
        <v>41</v>
      </c>
      <c r="I94" s="386" t="s">
        <v>17</v>
      </c>
      <c r="J94" s="388" t="s">
        <v>18</v>
      </c>
      <c r="K94" s="372" t="s">
        <v>40</v>
      </c>
      <c r="L94" s="374" t="s">
        <v>4</v>
      </c>
      <c r="M94" s="376" t="s">
        <v>5</v>
      </c>
      <c r="N94" s="378" t="s">
        <v>14</v>
      </c>
      <c r="O94" s="390" t="s">
        <v>15</v>
      </c>
      <c r="P94" s="391"/>
      <c r="Q94" s="376" t="s">
        <v>16</v>
      </c>
      <c r="R94" s="384" t="s">
        <v>41</v>
      </c>
      <c r="S94" s="386" t="s">
        <v>17</v>
      </c>
      <c r="T94" s="388" t="s">
        <v>18</v>
      </c>
    </row>
    <row r="95" spans="1:20" ht="13.5" thickBot="1">
      <c r="A95" s="373"/>
      <c r="B95" s="375" t="s">
        <v>34</v>
      </c>
      <c r="C95" s="377"/>
      <c r="D95" s="379"/>
      <c r="E95" s="382"/>
      <c r="F95" s="383"/>
      <c r="G95" s="377"/>
      <c r="H95" s="385"/>
      <c r="I95" s="387"/>
      <c r="J95" s="389" t="s">
        <v>35</v>
      </c>
      <c r="K95" s="373"/>
      <c r="L95" s="375" t="s">
        <v>34</v>
      </c>
      <c r="M95" s="377"/>
      <c r="N95" s="379"/>
      <c r="O95" s="392"/>
      <c r="P95" s="393"/>
      <c r="Q95" s="377"/>
      <c r="R95" s="385"/>
      <c r="S95" s="387"/>
      <c r="T95" s="389" t="s">
        <v>35</v>
      </c>
    </row>
    <row r="96" spans="1:20" ht="12.75" customHeight="1">
      <c r="A96" s="465">
        <v>5</v>
      </c>
      <c r="B96" s="478">
        <f>пр.хода!L6</f>
        <v>0</v>
      </c>
      <c r="C96" s="485" t="str">
        <f>IFERROR(VLOOKUP(B96,пр.взв!$B$7:$H$38,2,0),"")</f>
        <v/>
      </c>
      <c r="D96" s="486" t="str">
        <f>IFERROR(VLOOKUP(B96,пр.взв!$B$7:$H$38,3,0),"")</f>
        <v/>
      </c>
      <c r="E96" s="486" t="str">
        <f>IFERROR(VLOOKUP(B96,пр.взв!$B$7:$H$38,4,0),"")</f>
        <v/>
      </c>
      <c r="F96" s="486" t="str">
        <f>IFERROR(VLOOKUP(B96,пр.взв!$B$7:$H$38,5,0),"")</f>
        <v/>
      </c>
      <c r="G96" s="432"/>
      <c r="H96" s="435"/>
      <c r="I96" s="433"/>
      <c r="J96" s="483"/>
      <c r="K96" s="465">
        <v>7</v>
      </c>
      <c r="L96" s="478">
        <f>пр.хода!L34</f>
        <v>0</v>
      </c>
      <c r="M96" s="485" t="str">
        <f>IFERROR(VLOOKUP(L96,пр.взв!$B$7:$H$38,2,0),"")</f>
        <v/>
      </c>
      <c r="N96" s="486" t="str">
        <f>IFERROR(VLOOKUP(L96,пр.взв!$B$7:$H$38,3,0),"")</f>
        <v/>
      </c>
      <c r="O96" s="486" t="str">
        <f>IFERROR(VLOOKUP(L96,пр.взв!$B$7:$H$38,4,0),"")</f>
        <v/>
      </c>
      <c r="P96" s="486" t="str">
        <f>IFERROR(VLOOKUP(L96,пр.взв!$B$7:$H$38,5,0),"")</f>
        <v/>
      </c>
      <c r="Q96" s="432"/>
      <c r="R96" s="435"/>
      <c r="S96" s="433"/>
      <c r="T96" s="483"/>
    </row>
    <row r="97" spans="1:20" ht="12.75" customHeight="1">
      <c r="A97" s="465"/>
      <c r="B97" s="471"/>
      <c r="C97" s="431"/>
      <c r="D97" s="397"/>
      <c r="E97" s="397"/>
      <c r="F97" s="397"/>
      <c r="G97" s="401"/>
      <c r="H97" s="401"/>
      <c r="I97" s="406"/>
      <c r="J97" s="303"/>
      <c r="K97" s="465"/>
      <c r="L97" s="471"/>
      <c r="M97" s="431"/>
      <c r="N97" s="397"/>
      <c r="O97" s="397"/>
      <c r="P97" s="397"/>
      <c r="Q97" s="401"/>
      <c r="R97" s="401"/>
      <c r="S97" s="406"/>
      <c r="T97" s="303"/>
    </row>
    <row r="98" spans="1:20" ht="12.75" customHeight="1">
      <c r="A98" s="465"/>
      <c r="B98" s="476" t="str">
        <f>пр.хода!L8</f>
        <v xml:space="preserve"> </v>
      </c>
      <c r="C98" s="411" t="str">
        <f>IFERROR(VLOOKUP(B98,пр.взв!$B$7:$H$38,2,0),"")</f>
        <v/>
      </c>
      <c r="D98" s="398" t="str">
        <f>IFERROR(VLOOKUP(B98,пр.взв!$B$7:$H$38,3,0),"")</f>
        <v/>
      </c>
      <c r="E98" s="398" t="str">
        <f>IFERROR(VLOOKUP(B98,пр.взв!$B$7:$H$38,4,0),"")</f>
        <v/>
      </c>
      <c r="F98" s="398" t="str">
        <f>IFERROR(VLOOKUP(B98,пр.взв!$B$7:$H$38,5,0),"")</f>
        <v/>
      </c>
      <c r="G98" s="403"/>
      <c r="H98" s="403"/>
      <c r="I98" s="304"/>
      <c r="J98" s="304"/>
      <c r="K98" s="465"/>
      <c r="L98" s="476" t="str">
        <f>пр.хода!L36</f>
        <v xml:space="preserve"> </v>
      </c>
      <c r="M98" s="411" t="str">
        <f>IFERROR(VLOOKUP(L98,пр.взв!$B$7:$H$38,2,0),"")</f>
        <v/>
      </c>
      <c r="N98" s="398" t="str">
        <f>IFERROR(VLOOKUP(L98,пр.взв!$B$7:$H$38,3,0),"")</f>
        <v/>
      </c>
      <c r="O98" s="398" t="str">
        <f>IFERROR(VLOOKUP(L98,пр.взв!$B$7:$H$38,4,0),"")</f>
        <v/>
      </c>
      <c r="P98" s="398" t="str">
        <f>IFERROR(VLOOKUP(L98,пр.взв!$B$7:$H$38,5,0),"")</f>
        <v/>
      </c>
      <c r="Q98" s="403"/>
      <c r="R98" s="403"/>
      <c r="S98" s="304"/>
      <c r="T98" s="304"/>
    </row>
    <row r="99" spans="1:20" ht="13.5" customHeight="1" thickBot="1">
      <c r="A99" s="466"/>
      <c r="B99" s="473"/>
      <c r="C99" s="412"/>
      <c r="D99" s="399"/>
      <c r="E99" s="399"/>
      <c r="F99" s="399"/>
      <c r="G99" s="404"/>
      <c r="H99" s="404"/>
      <c r="I99" s="413"/>
      <c r="J99" s="413"/>
      <c r="K99" s="466"/>
      <c r="L99" s="473"/>
      <c r="M99" s="412"/>
      <c r="N99" s="399"/>
      <c r="O99" s="399"/>
      <c r="P99" s="399"/>
      <c r="Q99" s="404"/>
      <c r="R99" s="404"/>
      <c r="S99" s="413"/>
      <c r="T99" s="413"/>
    </row>
    <row r="100" spans="1:20" ht="12.75" customHeight="1">
      <c r="A100" s="464">
        <v>6</v>
      </c>
      <c r="B100" s="484">
        <f>пр.хода!L10</f>
        <v>0</v>
      </c>
      <c r="C100" s="430" t="str">
        <f>IFERROR(VLOOKUP(B100,пр.взв!$B$7:$H$38,2,0),"")</f>
        <v/>
      </c>
      <c r="D100" s="396" t="str">
        <f>IFERROR(VLOOKUP(B100,пр.взв!$B$7:$H$38,3,0),"")</f>
        <v/>
      </c>
      <c r="E100" s="396" t="str">
        <f>IFERROR(VLOOKUP(B100,пр.взв!$B$7:$H$38,4,0),"")</f>
        <v/>
      </c>
      <c r="F100" s="396" t="str">
        <f>IFERROR(VLOOKUP(B100,пр.взв!$B$7:$H$38,5,0),"")</f>
        <v/>
      </c>
      <c r="G100" s="400"/>
      <c r="H100" s="402"/>
      <c r="I100" s="405"/>
      <c r="J100" s="378"/>
      <c r="K100" s="464">
        <v>8</v>
      </c>
      <c r="L100" s="484">
        <f>пр.хода!L38</f>
        <v>0</v>
      </c>
      <c r="M100" s="430" t="str">
        <f>IFERROR(VLOOKUP(L100,пр.взв!$B$7:$H$38,2,0),"")</f>
        <v/>
      </c>
      <c r="N100" s="396" t="str">
        <f>IFERROR(VLOOKUP(L100,пр.взв!$B$7:$H$38,3,0),"")</f>
        <v/>
      </c>
      <c r="O100" s="396" t="str">
        <f>IFERROR(VLOOKUP(L100,пр.взв!$B$7:$H$38,4,0),"")</f>
        <v/>
      </c>
      <c r="P100" s="396" t="str">
        <f>IFERROR(VLOOKUP(L100,пр.взв!$B$7:$H$38,5,0),"")</f>
        <v/>
      </c>
      <c r="Q100" s="400"/>
      <c r="R100" s="402"/>
      <c r="S100" s="405"/>
      <c r="T100" s="378"/>
    </row>
    <row r="101" spans="1:20" ht="12.75" customHeight="1">
      <c r="A101" s="465"/>
      <c r="B101" s="471"/>
      <c r="C101" s="431"/>
      <c r="D101" s="397"/>
      <c r="E101" s="397"/>
      <c r="F101" s="397"/>
      <c r="G101" s="401"/>
      <c r="H101" s="401"/>
      <c r="I101" s="406"/>
      <c r="J101" s="303"/>
      <c r="K101" s="465"/>
      <c r="L101" s="471"/>
      <c r="M101" s="431"/>
      <c r="N101" s="397"/>
      <c r="O101" s="397"/>
      <c r="P101" s="397"/>
      <c r="Q101" s="401"/>
      <c r="R101" s="401"/>
      <c r="S101" s="406"/>
      <c r="T101" s="303"/>
    </row>
    <row r="102" spans="1:20" ht="12.75" customHeight="1">
      <c r="A102" s="465"/>
      <c r="B102" s="476" t="str">
        <f>пр.хода!L12</f>
        <v xml:space="preserve"> </v>
      </c>
      <c r="C102" s="411" t="str">
        <f>IFERROR(VLOOKUP(B102,пр.взв!$B$7:$H$38,2,0),"")</f>
        <v/>
      </c>
      <c r="D102" s="394" t="str">
        <f>IFERROR(VLOOKUP(B102,пр.взв!$B$7:$H$38,3,0),"")</f>
        <v/>
      </c>
      <c r="E102" s="394" t="str">
        <f>IFERROR(VLOOKUP(B102,пр.взв!$B$7:$H$38,4,0),"")</f>
        <v/>
      </c>
      <c r="F102" s="394" t="str">
        <f>IFERROR(VLOOKUP(B102,пр.взв!$B$7:$H$38,5,0),"")</f>
        <v/>
      </c>
      <c r="G102" s="403"/>
      <c r="H102" s="403"/>
      <c r="I102" s="304"/>
      <c r="J102" s="304"/>
      <c r="K102" s="465"/>
      <c r="L102" s="476" t="str">
        <f>пр.хода!L40</f>
        <v xml:space="preserve"> </v>
      </c>
      <c r="M102" s="411" t="str">
        <f>IFERROR(VLOOKUP(L102,пр.взв!$B$7:$H$38,2,0),"")</f>
        <v/>
      </c>
      <c r="N102" s="394" t="str">
        <f>IFERROR(VLOOKUP(L102,пр.взв!$B$7:$H$38,3,0),"")</f>
        <v/>
      </c>
      <c r="O102" s="394" t="str">
        <f>IFERROR(VLOOKUP(L102,пр.взв!$B$7:$H$38,4,0),"")</f>
        <v/>
      </c>
      <c r="P102" s="394" t="str">
        <f>IFERROR(VLOOKUP(L102,пр.взв!$B$7:$H$38,5,0),"")</f>
        <v/>
      </c>
      <c r="Q102" s="403"/>
      <c r="R102" s="403"/>
      <c r="S102" s="304"/>
      <c r="T102" s="304"/>
    </row>
    <row r="103" spans="1:20" ht="12.75" customHeight="1" thickBot="1">
      <c r="A103" s="466"/>
      <c r="B103" s="473"/>
      <c r="C103" s="412"/>
      <c r="D103" s="395"/>
      <c r="E103" s="395"/>
      <c r="F103" s="395"/>
      <c r="G103" s="404"/>
      <c r="H103" s="404"/>
      <c r="I103" s="413"/>
      <c r="J103" s="413"/>
      <c r="K103" s="466"/>
      <c r="L103" s="473"/>
      <c r="M103" s="412"/>
      <c r="N103" s="395"/>
      <c r="O103" s="395"/>
      <c r="P103" s="395"/>
      <c r="Q103" s="404"/>
      <c r="R103" s="404"/>
      <c r="S103" s="413"/>
      <c r="T103" s="413"/>
    </row>
    <row r="104" spans="1:20" ht="12.75" customHeight="1">
      <c r="B104" s="288">
        <f>B91</f>
        <v>0</v>
      </c>
      <c r="C104" s="289" t="s">
        <v>111</v>
      </c>
      <c r="D104" s="289"/>
      <c r="E104" s="370"/>
      <c r="F104" s="370"/>
      <c r="G104" s="289"/>
      <c r="H104" s="289"/>
      <c r="I104" s="289"/>
      <c r="J104" s="289"/>
      <c r="L104" s="288">
        <f>L91</f>
        <v>0</v>
      </c>
      <c r="M104" s="289" t="s">
        <v>111</v>
      </c>
      <c r="N104" s="289"/>
      <c r="O104" s="370"/>
      <c r="P104" s="370"/>
      <c r="Q104" s="289"/>
      <c r="R104" s="289"/>
      <c r="S104" s="289"/>
      <c r="T104" s="289"/>
    </row>
    <row r="105" spans="1:20" ht="12.75" customHeight="1">
      <c r="A105" s="371" t="s">
        <v>114</v>
      </c>
      <c r="B105" s="371"/>
      <c r="C105" s="371"/>
      <c r="D105" s="371"/>
      <c r="E105" s="371"/>
      <c r="F105" s="371"/>
      <c r="G105" s="371"/>
      <c r="H105" s="371"/>
      <c r="I105" s="371"/>
      <c r="J105" s="371"/>
      <c r="K105" s="371" t="s">
        <v>114</v>
      </c>
      <c r="L105" s="371"/>
      <c r="M105" s="371"/>
      <c r="N105" s="371"/>
      <c r="O105" s="371"/>
      <c r="P105" s="371"/>
      <c r="Q105" s="371"/>
      <c r="R105" s="371"/>
      <c r="S105" s="371"/>
      <c r="T105" s="371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В.к.58 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В.к.58  кг.</v>
      </c>
      <c r="R106" s="75"/>
      <c r="S106" s="75"/>
      <c r="T106" s="75"/>
    </row>
    <row r="107" spans="1:20" ht="12.75" customHeight="1">
      <c r="A107" s="372" t="s">
        <v>40</v>
      </c>
      <c r="B107" s="374" t="s">
        <v>4</v>
      </c>
      <c r="C107" s="376" t="s">
        <v>5</v>
      </c>
      <c r="D107" s="378" t="s">
        <v>14</v>
      </c>
      <c r="E107" s="380" t="s">
        <v>15</v>
      </c>
      <c r="F107" s="381"/>
      <c r="G107" s="376" t="s">
        <v>16</v>
      </c>
      <c r="H107" s="384" t="s">
        <v>41</v>
      </c>
      <c r="I107" s="386" t="s">
        <v>17</v>
      </c>
      <c r="J107" s="388" t="s">
        <v>18</v>
      </c>
      <c r="K107" s="372" t="s">
        <v>40</v>
      </c>
      <c r="L107" s="374" t="s">
        <v>4</v>
      </c>
      <c r="M107" s="376" t="s">
        <v>5</v>
      </c>
      <c r="N107" s="378" t="s">
        <v>14</v>
      </c>
      <c r="O107" s="390" t="s">
        <v>15</v>
      </c>
      <c r="P107" s="391"/>
      <c r="Q107" s="376" t="s">
        <v>16</v>
      </c>
      <c r="R107" s="384" t="s">
        <v>41</v>
      </c>
      <c r="S107" s="386" t="s">
        <v>17</v>
      </c>
      <c r="T107" s="388" t="s">
        <v>18</v>
      </c>
    </row>
    <row r="108" spans="1:20" ht="13.5" thickBot="1">
      <c r="A108" s="373"/>
      <c r="B108" s="375" t="s">
        <v>34</v>
      </c>
      <c r="C108" s="377"/>
      <c r="D108" s="379"/>
      <c r="E108" s="382"/>
      <c r="F108" s="383"/>
      <c r="G108" s="377"/>
      <c r="H108" s="385"/>
      <c r="I108" s="387"/>
      <c r="J108" s="389" t="s">
        <v>35</v>
      </c>
      <c r="K108" s="373"/>
      <c r="L108" s="375" t="s">
        <v>34</v>
      </c>
      <c r="M108" s="377"/>
      <c r="N108" s="379"/>
      <c r="O108" s="392"/>
      <c r="P108" s="393"/>
      <c r="Q108" s="377"/>
      <c r="R108" s="385"/>
      <c r="S108" s="387"/>
      <c r="T108" s="389" t="s">
        <v>35</v>
      </c>
    </row>
    <row r="109" spans="1:20" ht="12.75" customHeight="1">
      <c r="A109" s="464">
        <v>9</v>
      </c>
      <c r="B109" s="484">
        <f>пр.хода!M7</f>
        <v>0</v>
      </c>
      <c r="C109" s="430" t="str">
        <f>IFERROR(VLOOKUP(B109,пр.взв!$B$7:$H$38,2,0),"")</f>
        <v/>
      </c>
      <c r="D109" s="396" t="str">
        <f>IFERROR(VLOOKUP(B109,пр.взв!$B$7:$H$38,3,0),"")</f>
        <v/>
      </c>
      <c r="E109" s="396" t="str">
        <f>IFERROR(VLOOKUP(B109,пр.взв!$B$7:$H$38,4,0),"")</f>
        <v/>
      </c>
      <c r="F109" s="396" t="str">
        <f>IFERROR(VLOOKUP(B109,пр.взв!$B$7:$H$38,5,0),"")</f>
        <v/>
      </c>
      <c r="G109" s="400"/>
      <c r="H109" s="402"/>
      <c r="I109" s="405"/>
      <c r="J109" s="378"/>
      <c r="K109" s="464">
        <v>10</v>
      </c>
      <c r="L109" s="484">
        <f>пр.хода!M35</f>
        <v>0</v>
      </c>
      <c r="M109" s="430" t="str">
        <f>IFERROR(VLOOKUP(L109,пр.взв!$B$7:$H$38,2,0),"")</f>
        <v/>
      </c>
      <c r="N109" s="396" t="str">
        <f>IFERROR(VLOOKUP(L109,пр.взв!$B$7:$H$38,3,0),"")</f>
        <v/>
      </c>
      <c r="O109" s="396" t="str">
        <f>IFERROR(VLOOKUP(L109,пр.взв!$B$7:$H$38,4,0),"")</f>
        <v/>
      </c>
      <c r="P109" s="396" t="str">
        <f>IFERROR(VLOOKUP(L109,пр.взв!$B$7:$H$38,5,0),"")</f>
        <v/>
      </c>
      <c r="Q109" s="400"/>
      <c r="R109" s="402"/>
      <c r="S109" s="405"/>
      <c r="T109" s="378"/>
    </row>
    <row r="110" spans="1:20" ht="12.75" customHeight="1">
      <c r="A110" s="465"/>
      <c r="B110" s="471"/>
      <c r="C110" s="431"/>
      <c r="D110" s="397"/>
      <c r="E110" s="397"/>
      <c r="F110" s="397"/>
      <c r="G110" s="401"/>
      <c r="H110" s="401"/>
      <c r="I110" s="406"/>
      <c r="J110" s="303"/>
      <c r="K110" s="465"/>
      <c r="L110" s="471"/>
      <c r="M110" s="431"/>
      <c r="N110" s="397"/>
      <c r="O110" s="397"/>
      <c r="P110" s="397"/>
      <c r="Q110" s="401"/>
      <c r="R110" s="401"/>
      <c r="S110" s="406"/>
      <c r="T110" s="303"/>
    </row>
    <row r="111" spans="1:20" ht="12.75" customHeight="1">
      <c r="A111" s="465"/>
      <c r="B111" s="476">
        <f>пр.хода!M11</f>
        <v>0</v>
      </c>
      <c r="C111" s="411" t="str">
        <f>IFERROR(VLOOKUP(B111,пр.взв!$B$7:$H$38,2,0),"")</f>
        <v/>
      </c>
      <c r="D111" s="394" t="str">
        <f>IFERROR(VLOOKUP(B111,пр.взв!$B$7:$H$38,3,0),"")</f>
        <v/>
      </c>
      <c r="E111" s="394" t="str">
        <f>IFERROR(VLOOKUP(B111,пр.взв!$B$7:$H$38,4,0),"")</f>
        <v/>
      </c>
      <c r="F111" s="394" t="str">
        <f>IFERROR(VLOOKUP(B111,пр.взв!$B$7:$H$38,5,0),"")</f>
        <v/>
      </c>
      <c r="G111" s="403"/>
      <c r="H111" s="403"/>
      <c r="I111" s="304"/>
      <c r="J111" s="304"/>
      <c r="K111" s="465"/>
      <c r="L111" s="476">
        <f>пр.хода!M39</f>
        <v>0</v>
      </c>
      <c r="M111" s="411" t="str">
        <f>IFERROR(VLOOKUP(L111,пр.взв!$B$7:$H$38,2,0),"")</f>
        <v/>
      </c>
      <c r="N111" s="394" t="str">
        <f>IFERROR(VLOOKUP(L111,пр.взв!$B$7:$H$38,3,0),"")</f>
        <v/>
      </c>
      <c r="O111" s="394" t="str">
        <f>IFERROR(VLOOKUP(L111,пр.взв!$B$7:$H$38,4,0),"")</f>
        <v/>
      </c>
      <c r="P111" s="394" t="str">
        <f>IFERROR(VLOOKUP(L111,пр.взв!$B$7:$H$38,5,0),"")</f>
        <v/>
      </c>
      <c r="Q111" s="403"/>
      <c r="R111" s="403"/>
      <c r="S111" s="304"/>
      <c r="T111" s="304"/>
    </row>
    <row r="112" spans="1:20" ht="12.75" customHeight="1" thickBot="1">
      <c r="A112" s="466"/>
      <c r="B112" s="473"/>
      <c r="C112" s="412"/>
      <c r="D112" s="395"/>
      <c r="E112" s="395"/>
      <c r="F112" s="395"/>
      <c r="G112" s="404"/>
      <c r="H112" s="404"/>
      <c r="I112" s="413"/>
      <c r="J112" s="413"/>
      <c r="K112" s="466"/>
      <c r="L112" s="473"/>
      <c r="M112" s="412"/>
      <c r="N112" s="395"/>
      <c r="O112" s="395"/>
      <c r="P112" s="395"/>
      <c r="Q112" s="404"/>
      <c r="R112" s="404"/>
      <c r="S112" s="413"/>
      <c r="T112" s="413"/>
    </row>
  </sheetData>
  <mergeCells count="908"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504" t="str">
        <f>пр.взв!A2</f>
        <v>Первенство России по самбо среди юниоров и юниорок до 24 лет ( 1999-2004г.р.)  ЕКП № 1802, отбор на Кубок Европы 2022г.</v>
      </c>
      <c r="B1" s="504"/>
      <c r="C1" s="504"/>
      <c r="D1" s="504"/>
      <c r="E1" s="504"/>
      <c r="F1" s="504"/>
      <c r="G1" s="504"/>
      <c r="H1" s="504"/>
      <c r="I1" s="504"/>
      <c r="J1" s="504"/>
    </row>
    <row r="2" spans="1:10" ht="15.75">
      <c r="D2" s="53"/>
      <c r="E2" s="494" t="str">
        <f>HYPERLINK(пр.взв!D4)</f>
        <v>В.к.58  кг.</v>
      </c>
      <c r="F2" s="494"/>
    </row>
    <row r="3" spans="1:10" ht="20.25" customHeight="1">
      <c r="C3" s="300" t="s">
        <v>115</v>
      </c>
    </row>
    <row r="4" spans="1:10">
      <c r="C4" s="54" t="s">
        <v>12</v>
      </c>
    </row>
    <row r="5" spans="1:10">
      <c r="A5" s="492" t="s">
        <v>13</v>
      </c>
      <c r="B5" s="303" t="s">
        <v>4</v>
      </c>
      <c r="C5" s="483" t="s">
        <v>5</v>
      </c>
      <c r="D5" s="303" t="s">
        <v>14</v>
      </c>
      <c r="E5" s="495" t="s">
        <v>15</v>
      </c>
      <c r="F5" s="496"/>
      <c r="G5" s="303" t="s">
        <v>16</v>
      </c>
      <c r="H5" s="304" t="s">
        <v>41</v>
      </c>
      <c r="I5" s="303" t="s">
        <v>17</v>
      </c>
      <c r="J5" s="303" t="s">
        <v>18</v>
      </c>
    </row>
    <row r="6" spans="1:10">
      <c r="A6" s="493"/>
      <c r="B6" s="304"/>
      <c r="C6" s="304"/>
      <c r="D6" s="304"/>
      <c r="E6" s="505"/>
      <c r="F6" s="506"/>
      <c r="G6" s="304"/>
      <c r="H6" s="483"/>
      <c r="I6" s="304"/>
      <c r="J6" s="304"/>
    </row>
    <row r="7" spans="1:10">
      <c r="A7" s="502"/>
      <c r="B7" s="503">
        <f>пр.хода!N9</f>
        <v>0</v>
      </c>
      <c r="C7" s="488" t="str">
        <f>IFERROR(VLOOKUP(B7,пр.взв!$B$7:$H$38,2,0),"")</f>
        <v/>
      </c>
      <c r="D7" s="488" t="str">
        <f>IFERROR(VLOOKUP(B7,пр.взв!$B$7:$H$38,3,0),"")</f>
        <v/>
      </c>
      <c r="E7" s="490" t="str">
        <f>IFERROR(VLOOKUP(B7,пр.взв!$B$7:$H$38,4,0),"")</f>
        <v/>
      </c>
      <c r="F7" s="488" t="str">
        <f>IFERROR(VLOOKUP(B7,пр.взв!$B$7:$H$38,5,0),"")</f>
        <v/>
      </c>
      <c r="G7" s="487"/>
      <c r="H7" s="304"/>
      <c r="I7" s="406"/>
      <c r="J7" s="303"/>
    </row>
    <row r="8" spans="1:10">
      <c r="A8" s="502"/>
      <c r="B8" s="303"/>
      <c r="C8" s="501"/>
      <c r="D8" s="501"/>
      <c r="E8" s="491"/>
      <c r="F8" s="489"/>
      <c r="G8" s="487"/>
      <c r="H8" s="483"/>
      <c r="I8" s="406"/>
      <c r="J8" s="303"/>
    </row>
    <row r="9" spans="1:10" ht="12.6" customHeight="1">
      <c r="A9" s="499"/>
      <c r="B9" s="503" t="str">
        <f>пр.хода!N13</f>
        <v xml:space="preserve"> </v>
      </c>
      <c r="C9" s="488" t="str">
        <f>IFERROR(VLOOKUP(B9,пр.взв!$B$7:$H$38,2,0),"")</f>
        <v/>
      </c>
      <c r="D9" s="488" t="str">
        <f>IFERROR(VLOOKUP(B9,пр.взв!$B$7:$H$38,3,0),"")</f>
        <v/>
      </c>
      <c r="E9" s="490" t="str">
        <f>IFERROR(VLOOKUP(B9,пр.взв!$B$7:$H$38,4,0),"")</f>
        <v/>
      </c>
      <c r="F9" s="488" t="str">
        <f>IFERROR(VLOOKUP(B9,пр.взв!$B$7:$H$38,5,0),"")</f>
        <v/>
      </c>
      <c r="G9" s="487"/>
      <c r="H9" s="304"/>
      <c r="I9" s="303"/>
      <c r="J9" s="303"/>
    </row>
    <row r="10" spans="1:10" ht="12.6" customHeight="1">
      <c r="A10" s="499"/>
      <c r="B10" s="303"/>
      <c r="C10" s="501"/>
      <c r="D10" s="501"/>
      <c r="E10" s="491"/>
      <c r="F10" s="489"/>
      <c r="G10" s="487"/>
      <c r="H10" s="483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300" t="s">
        <v>115</v>
      </c>
    </row>
    <row r="16" spans="1:10" ht="15.75">
      <c r="C16" s="54" t="s">
        <v>20</v>
      </c>
      <c r="E16" s="65" t="str">
        <f>E2</f>
        <v>В.к.58  кг.</v>
      </c>
    </row>
    <row r="17" spans="1:10" ht="12.75" customHeight="1">
      <c r="A17" s="492" t="s">
        <v>13</v>
      </c>
      <c r="B17" s="303" t="s">
        <v>4</v>
      </c>
      <c r="C17" s="483" t="s">
        <v>5</v>
      </c>
      <c r="D17" s="303" t="s">
        <v>14</v>
      </c>
      <c r="E17" s="495" t="s">
        <v>15</v>
      </c>
      <c r="F17" s="496"/>
      <c r="G17" s="303" t="s">
        <v>16</v>
      </c>
      <c r="H17" s="304" t="s">
        <v>41</v>
      </c>
      <c r="I17" s="303" t="s">
        <v>17</v>
      </c>
      <c r="J17" s="303" t="s">
        <v>18</v>
      </c>
    </row>
    <row r="18" spans="1:10">
      <c r="A18" s="493"/>
      <c r="B18" s="304"/>
      <c r="C18" s="304"/>
      <c r="D18" s="304"/>
      <c r="E18" s="497"/>
      <c r="F18" s="498"/>
      <c r="G18" s="304"/>
      <c r="H18" s="483"/>
      <c r="I18" s="304"/>
      <c r="J18" s="304"/>
    </row>
    <row r="19" spans="1:10" ht="12.6" customHeight="1">
      <c r="A19" s="502"/>
      <c r="B19" s="503">
        <f>пр.хода!N37</f>
        <v>0</v>
      </c>
      <c r="C19" s="488" t="str">
        <f>IFERROR(VLOOKUP(B19,пр.взв!$B$7:$H$38,2,0),"")</f>
        <v/>
      </c>
      <c r="D19" s="488" t="str">
        <f>IFERROR(VLOOKUP(B19,пр.взв!$B$7:$H$38,3,0),"")</f>
        <v/>
      </c>
      <c r="E19" s="490" t="str">
        <f>IFERROR(VLOOKUP(B19,пр.взв!$B$7:$H$38,4,0),"")</f>
        <v/>
      </c>
      <c r="F19" s="488" t="str">
        <f>IFERROR(VLOOKUP(B19,пр.взв!$B$7:$H$38,5,0),"")</f>
        <v/>
      </c>
      <c r="G19" s="487"/>
      <c r="H19" s="304"/>
      <c r="I19" s="406"/>
      <c r="J19" s="303"/>
    </row>
    <row r="20" spans="1:10" ht="12.6" customHeight="1">
      <c r="A20" s="502"/>
      <c r="B20" s="303"/>
      <c r="C20" s="501"/>
      <c r="D20" s="501"/>
      <c r="E20" s="491"/>
      <c r="F20" s="489"/>
      <c r="G20" s="487"/>
      <c r="H20" s="483"/>
      <c r="I20" s="406"/>
      <c r="J20" s="303"/>
    </row>
    <row r="21" spans="1:10" ht="12.6" customHeight="1">
      <c r="A21" s="499"/>
      <c r="B21" s="503" t="str">
        <f>пр.хода!N41</f>
        <v xml:space="preserve"> </v>
      </c>
      <c r="C21" s="488" t="str">
        <f>IFERROR(VLOOKUP(B21,пр.взв!$B$7:$H$38,2,0),"")</f>
        <v/>
      </c>
      <c r="D21" s="488" t="str">
        <f>IFERROR(VLOOKUP(B21,пр.взв!$B$7:$H$38,3,0),"")</f>
        <v/>
      </c>
      <c r="E21" s="490" t="str">
        <f>IFERROR(VLOOKUP(B21,пр.взв!$B$7:$H$38,4,0),"")</f>
        <v/>
      </c>
      <c r="F21" s="488" t="str">
        <f>IFERROR(VLOOKUP(B21,пр.взв!$B$7:$H$38,5,0),"")</f>
        <v/>
      </c>
      <c r="G21" s="487"/>
      <c r="H21" s="304"/>
      <c r="I21" s="303"/>
      <c r="J21" s="303"/>
    </row>
    <row r="22" spans="1:10" ht="12.6" customHeight="1">
      <c r="A22" s="499"/>
      <c r="B22" s="303"/>
      <c r="C22" s="501"/>
      <c r="D22" s="501"/>
      <c r="E22" s="491"/>
      <c r="F22" s="489"/>
      <c r="G22" s="487"/>
      <c r="H22" s="483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94" t="str">
        <f>HYPERLINK(пр.взв!D4)</f>
        <v>В.к.58  кг.</v>
      </c>
      <c r="F29" s="494"/>
    </row>
    <row r="30" spans="1:10" ht="12.75" customHeight="1">
      <c r="A30" s="492" t="s">
        <v>13</v>
      </c>
      <c r="B30" s="303" t="s">
        <v>4</v>
      </c>
      <c r="C30" s="483" t="s">
        <v>5</v>
      </c>
      <c r="D30" s="303" t="s">
        <v>14</v>
      </c>
      <c r="E30" s="495" t="s">
        <v>15</v>
      </c>
      <c r="F30" s="496"/>
      <c r="G30" s="303" t="s">
        <v>16</v>
      </c>
      <c r="H30" s="304" t="s">
        <v>41</v>
      </c>
      <c r="I30" s="303" t="s">
        <v>17</v>
      </c>
      <c r="J30" s="303" t="s">
        <v>18</v>
      </c>
    </row>
    <row r="31" spans="1:10" ht="12.75" customHeight="1">
      <c r="A31" s="493"/>
      <c r="B31" s="304"/>
      <c r="C31" s="304"/>
      <c r="D31" s="304"/>
      <c r="E31" s="497"/>
      <c r="F31" s="498"/>
      <c r="G31" s="304"/>
      <c r="H31" s="483"/>
      <c r="I31" s="304"/>
      <c r="J31" s="304"/>
    </row>
    <row r="32" spans="1:10" ht="12.6" customHeight="1">
      <c r="A32" s="502"/>
      <c r="B32" s="500">
        <f>пр.хода!K22</f>
        <v>0</v>
      </c>
      <c r="C32" s="488" t="str">
        <f>IFERROR(VLOOKUP(B32,пр.взв!$B$7:$H$38,2,0),"")</f>
        <v/>
      </c>
      <c r="D32" s="488" t="str">
        <f>IFERROR(VLOOKUP(B32,пр.взв!$B$7:$H$38,3,0),"")</f>
        <v/>
      </c>
      <c r="E32" s="490" t="str">
        <f>IFERROR(VLOOKUP(B32,пр.взв!$B$7:$H$38,4,0),"")</f>
        <v/>
      </c>
      <c r="F32" s="488" t="str">
        <f>IFERROR(VLOOKUP(B32,пр.взв!$B$7:$H$38,5,0),"")</f>
        <v/>
      </c>
      <c r="G32" s="487"/>
      <c r="H32" s="304"/>
      <c r="I32" s="406"/>
      <c r="J32" s="303"/>
    </row>
    <row r="33" spans="1:10" ht="12.6" customHeight="1">
      <c r="A33" s="502"/>
      <c r="B33" s="303"/>
      <c r="C33" s="501"/>
      <c r="D33" s="501"/>
      <c r="E33" s="491"/>
      <c r="F33" s="489"/>
      <c r="G33" s="487"/>
      <c r="H33" s="483"/>
      <c r="I33" s="406"/>
      <c r="J33" s="303"/>
    </row>
    <row r="34" spans="1:10" ht="12.6" customHeight="1">
      <c r="A34" s="499"/>
      <c r="B34" s="500">
        <f>пр.хода!N22</f>
        <v>0</v>
      </c>
      <c r="C34" s="488" t="str">
        <f>IFERROR(VLOOKUP(B34,пр.взв!$B$7:$H$38,2,0),"")</f>
        <v/>
      </c>
      <c r="D34" s="488" t="str">
        <f>IFERROR(VLOOKUP(B34,пр.взв!$B$7:$H$38,3,0),"")</f>
        <v/>
      </c>
      <c r="E34" s="490" t="str">
        <f>IFERROR(VLOOKUP(B34,пр.взв!$B$7:$H$38,4,0),"")</f>
        <v/>
      </c>
      <c r="F34" s="488" t="str">
        <f>IFERROR(VLOOKUP(B34,пр.взв!$B$7:$H$38,5,0),"")</f>
        <v/>
      </c>
      <c r="G34" s="487"/>
      <c r="H34" s="304"/>
      <c r="I34" s="303"/>
      <c r="J34" s="303"/>
    </row>
    <row r="35" spans="1:10" ht="12.6" customHeight="1">
      <c r="A35" s="499"/>
      <c r="B35" s="303"/>
      <c r="C35" s="501"/>
      <c r="D35" s="501"/>
      <c r="E35" s="491"/>
      <c r="F35" s="489"/>
      <c r="G35" s="487"/>
      <c r="H35" s="483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108</v>
      </c>
      <c r="B42" s="36"/>
      <c r="C42" s="36"/>
      <c r="D42" s="36"/>
      <c r="E42" s="15"/>
      <c r="F42" s="56" t="s">
        <v>108</v>
      </c>
      <c r="G42" s="34" t="s">
        <v>108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108</v>
      </c>
      <c r="C44" s="36"/>
      <c r="D44" s="36"/>
      <c r="E44" s="33"/>
      <c r="F44" s="56" t="s">
        <v>108</v>
      </c>
      <c r="G44" s="35" t="s">
        <v>108</v>
      </c>
      <c r="H44" s="35"/>
    </row>
    <row r="45" spans="1:10">
      <c r="C45" s="15"/>
      <c r="D45" s="15"/>
      <c r="E45" s="15"/>
      <c r="F45" s="15"/>
    </row>
  </sheetData>
  <mergeCells count="90"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F19:F20"/>
    <mergeCell ref="G19:G20"/>
    <mergeCell ref="H21:H22"/>
    <mergeCell ref="F21:F22"/>
    <mergeCell ref="I17:I18"/>
    <mergeCell ref="G17:G18"/>
    <mergeCell ref="E17:F18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I34:I35"/>
    <mergeCell ref="G32:G33"/>
    <mergeCell ref="I32:I33"/>
    <mergeCell ref="G30:G31"/>
    <mergeCell ref="I30:I31"/>
    <mergeCell ref="H30:H31"/>
    <mergeCell ref="H32:H33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</sheetPr>
  <dimension ref="A1:AO75"/>
  <sheetViews>
    <sheetView workbookViewId="0">
      <selection activeCell="B26" sqref="B26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522" t="s">
        <v>23</v>
      </c>
      <c r="B1" s="522"/>
      <c r="C1" s="522"/>
      <c r="D1" s="522"/>
      <c r="E1" s="522"/>
      <c r="F1" s="522"/>
      <c r="G1" s="522"/>
      <c r="H1" s="522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25" t="s">
        <v>73</v>
      </c>
      <c r="C2" s="525"/>
      <c r="D2" s="509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E2" s="510"/>
      <c r="F2" s="510"/>
      <c r="G2" s="510"/>
      <c r="H2" s="511"/>
      <c r="T2" s="302">
        <f>SUMIF(J14:J16,V1,$K$14:$K$17)</f>
        <v>2</v>
      </c>
      <c r="U2" s="302"/>
      <c r="V2" s="302"/>
      <c r="W2" s="302"/>
      <c r="X2" s="302"/>
    </row>
    <row r="3" spans="1:41" ht="15" customHeight="1" thickBot="1">
      <c r="B3" s="524" t="str">
        <f>[1]реквизиты!$A$3</f>
        <v>17-21 января 2022года                          г.Кстово</v>
      </c>
      <c r="C3" s="524"/>
      <c r="D3" s="524"/>
      <c r="E3" s="524"/>
      <c r="F3" s="524"/>
      <c r="G3" s="524"/>
      <c r="H3" s="12" t="str">
        <f>HYPERLINK(пр.взв!D4)</f>
        <v>В.к.58  кг.</v>
      </c>
    </row>
    <row r="4" spans="1:41" ht="12.95" customHeight="1" thickBot="1">
      <c r="A4" s="526" t="s">
        <v>43</v>
      </c>
      <c r="B4" s="528" t="s">
        <v>4</v>
      </c>
      <c r="C4" s="530" t="s">
        <v>5</v>
      </c>
      <c r="D4" s="381" t="s">
        <v>6</v>
      </c>
      <c r="E4" s="380" t="s">
        <v>7</v>
      </c>
      <c r="F4" s="381"/>
      <c r="G4" s="482" t="s">
        <v>9</v>
      </c>
      <c r="H4" s="512" t="s">
        <v>8</v>
      </c>
      <c r="J4" s="508" t="str">
        <f>IFERROR(LEFT(F6,FIND(",",F6)-1),F6)</f>
        <v/>
      </c>
      <c r="K4" s="507">
        <v>1</v>
      </c>
      <c r="L4" s="520" t="s">
        <v>56</v>
      </c>
      <c r="M4" s="515" t="s">
        <v>57</v>
      </c>
      <c r="N4" s="517"/>
      <c r="O4" s="518"/>
      <c r="P4" s="518"/>
      <c r="Q4" s="519"/>
      <c r="S4" s="513" t="s">
        <v>56</v>
      </c>
      <c r="T4" s="515" t="s">
        <v>57</v>
      </c>
      <c r="U4" s="517"/>
      <c r="V4" s="518"/>
      <c r="W4" s="518"/>
      <c r="X4" s="519"/>
      <c r="AC4" s="513" t="s">
        <v>56</v>
      </c>
      <c r="AD4" s="515" t="s">
        <v>57</v>
      </c>
      <c r="AE4" s="517"/>
      <c r="AF4" s="518"/>
      <c r="AG4" s="518"/>
      <c r="AH4" s="519"/>
      <c r="AJ4" s="513" t="s">
        <v>56</v>
      </c>
      <c r="AK4" s="515" t="s">
        <v>57</v>
      </c>
      <c r="AL4" s="517"/>
      <c r="AM4" s="518"/>
      <c r="AN4" s="518"/>
      <c r="AO4" s="519"/>
    </row>
    <row r="5" spans="1:41" ht="12.95" customHeight="1" thickBot="1">
      <c r="A5" s="527"/>
      <c r="B5" s="529"/>
      <c r="C5" s="531"/>
      <c r="D5" s="383"/>
      <c r="E5" s="382"/>
      <c r="F5" s="383"/>
      <c r="G5" s="413"/>
      <c r="H5" s="415"/>
      <c r="J5" s="508"/>
      <c r="K5" s="507"/>
      <c r="L5" s="521"/>
      <c r="M5" s="516"/>
      <c r="N5" s="187">
        <v>1</v>
      </c>
      <c r="O5" s="188">
        <v>2</v>
      </c>
      <c r="P5" s="188">
        <v>3</v>
      </c>
      <c r="Q5" s="189">
        <v>5</v>
      </c>
      <c r="S5" s="514"/>
      <c r="T5" s="516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14"/>
      <c r="AD5" s="523"/>
      <c r="AE5" s="209">
        <v>1</v>
      </c>
      <c r="AF5" s="210">
        <v>2</v>
      </c>
      <c r="AG5" s="210">
        <v>3</v>
      </c>
      <c r="AH5" s="211">
        <v>5</v>
      </c>
      <c r="AJ5" s="514"/>
      <c r="AK5" s="523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08" t="s">
        <v>58</v>
      </c>
      <c r="K6" s="507">
        <v>1</v>
      </c>
      <c r="L6" s="190">
        <v>1</v>
      </c>
      <c r="M6" s="191" t="s">
        <v>59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08"/>
      <c r="K7" s="507"/>
      <c r="L7" s="194">
        <v>2</v>
      </c>
      <c r="M7" s="191" t="s">
        <v>60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07" t="str">
        <f>IFERROR(LEFT(F7,FIND(",",F7)-1),F7)</f>
        <v/>
      </c>
      <c r="K8" s="507">
        <v>1</v>
      </c>
      <c r="L8" s="195">
        <v>3</v>
      </c>
      <c r="M8" s="191" t="s">
        <v>61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07"/>
      <c r="K9" s="507"/>
      <c r="L9" s="194">
        <v>4</v>
      </c>
      <c r="M9" s="191" t="s">
        <v>62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07" t="str">
        <f>IFERROR(LEFT(F8,FIND(",",F8)-1),F8)</f>
        <v/>
      </c>
      <c r="K10" s="507">
        <v>1</v>
      </c>
      <c r="L10" s="195">
        <v>5</v>
      </c>
      <c r="M10" s="191" t="s">
        <v>63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07"/>
      <c r="K11" s="507"/>
      <c r="L11" s="194">
        <v>6</v>
      </c>
      <c r="M11" s="191" t="s">
        <v>64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44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07" t="str">
        <f>IFERROR(LEFT(F9,FIND(",",F9)-1),F9)</f>
        <v/>
      </c>
      <c r="K12" s="507">
        <v>1</v>
      </c>
      <c r="L12" s="195">
        <v>7</v>
      </c>
      <c r="M12" s="191" t="s">
        <v>65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44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07"/>
      <c r="K13" s="507"/>
      <c r="L13" s="194">
        <v>8</v>
      </c>
      <c r="M13" s="191" t="s">
        <v>66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47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07" t="str">
        <f>IFERROR(LEFT(F10,FIND(",",F10)-1),F10)</f>
        <v/>
      </c>
      <c r="K14" s="507">
        <v>1</v>
      </c>
      <c r="L14" s="195">
        <v>9</v>
      </c>
      <c r="M14" s="191" t="s">
        <v>67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47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07"/>
      <c r="K15" s="507"/>
      <c r="L15" s="194">
        <v>10</v>
      </c>
      <c r="M15" s="191" t="s">
        <v>68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47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07" t="str">
        <f>IFERROR(LEFT(F11,FIND(",",F11)-1),F11)</f>
        <v/>
      </c>
      <c r="K16" s="507">
        <v>1</v>
      </c>
      <c r="L16" s="195">
        <v>11</v>
      </c>
      <c r="M16" s="205" t="s">
        <v>69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47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07"/>
      <c r="K17" s="507"/>
      <c r="L17" s="194">
        <v>12</v>
      </c>
      <c r="M17" s="205" t="s">
        <v>70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48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48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48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48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53</v>
      </c>
      <c r="B22" s="261">
        <f>пр.хода!AC12</f>
        <v>13</v>
      </c>
      <c r="C22" s="274" t="str">
        <f>IFERROR(VLOOKUP(B22,пр.взв!$B$7:$H$38,2,0),"")</f>
        <v>МАКСИМОВ Роман Влексеевич</v>
      </c>
      <c r="D22" s="275" t="str">
        <f>IFERROR(VLOOKUP(B22,пр.взв!$B$7:$H$38,3,0),"")</f>
        <v>27.04.2001, КМС</v>
      </c>
      <c r="E22" s="276" t="str">
        <f>IFERROR(VLOOKUP(B22,пр.взв!$B$7:$H$38,4,0),"")</f>
        <v>ПФО</v>
      </c>
      <c r="F22" s="277" t="str">
        <f>IFERROR(VLOOKUP(B22,пр.взв!$B$7:$H$38,5,0),"")</f>
        <v>Р. Татарстан, Казань</v>
      </c>
      <c r="G22" s="278">
        <f>IFERROR(VLOOKUP(B22,пр.взв!$B$7:$H$38,6,0),"")</f>
        <v>0</v>
      </c>
      <c r="H22" s="279" t="str">
        <f>IFERROR(VLOOKUP(B22,пр.взв!$B$7:$H$38,7,0),"")</f>
        <v>Иванов В.А</v>
      </c>
    </row>
    <row r="23" spans="1:24" ht="24" customHeight="1">
      <c r="A23" s="260" t="s">
        <v>53</v>
      </c>
      <c r="B23" s="261">
        <f>пр.хода!AC22</f>
        <v>14</v>
      </c>
      <c r="C23" s="274" t="str">
        <f>IFERROR(VLOOKUP(B23,пр.взв!$B$7:$H$38,2,0),"")</f>
        <v>ПЕРЕПЕЛИЦЫН Даниил Андреевич</v>
      </c>
      <c r="D23" s="275" t="str">
        <f>IFERROR(VLOOKUP(B23,пр.взв!$B$7:$H$38,3,0),"")</f>
        <v>23.02.2002, МС</v>
      </c>
      <c r="E23" s="276" t="str">
        <f>IFERROR(VLOOKUP(B23,пр.взв!$B$7:$H$38,4,0),"")</f>
        <v>ЮФО</v>
      </c>
      <c r="F23" s="277" t="str">
        <f>IFERROR(VLOOKUP(B23,пр.взв!$B$7:$H$38,5,0),"")</f>
        <v>Ростовская, Ростов-на-Дону</v>
      </c>
      <c r="G23" s="278">
        <f>IFERROR(VLOOKUP(B23,пр.взв!$B$7:$H$38,6,0),"")</f>
        <v>0</v>
      </c>
      <c r="H23" s="279" t="str">
        <f>IFERROR(VLOOKUP(B23,пр.взв!$B$7:$H$38,7,0),"")</f>
        <v>Бабаков ВВ, Пантелеев ЕА</v>
      </c>
    </row>
    <row r="24" spans="1:24" ht="24" customHeight="1">
      <c r="A24" s="260" t="s">
        <v>53</v>
      </c>
      <c r="B24" s="261">
        <f>пр.хода!AC17</f>
        <v>15</v>
      </c>
      <c r="C24" s="274" t="str">
        <f>IFERROR(VLOOKUP(B24,пр.взв!$B$7:$H$38,2,0),"")</f>
        <v>СВИНЧУКОВ  Александр Павлович</v>
      </c>
      <c r="D24" s="275" t="str">
        <f>IFERROR(VLOOKUP(B24,пр.взв!$B$7:$H$38,3,0),"")</f>
        <v>04.02.2003, КМС</v>
      </c>
      <c r="E24" s="276" t="str">
        <f>IFERROR(VLOOKUP(B24,пр.взв!$B$7:$H$38,4,0),"")</f>
        <v>ЦФО</v>
      </c>
      <c r="F24" s="277" t="str">
        <f>IFERROR(VLOOKUP(B24,пр.взв!$B$7:$H$38,5,0),"")</f>
        <v>Брянская, Брянск, ЮР</v>
      </c>
      <c r="G24" s="278">
        <f>IFERROR(VLOOKUP(B24,пр.взв!$B$7:$H$38,6,0),"")</f>
        <v>0</v>
      </c>
      <c r="H24" s="279" t="str">
        <f>IFERROR(VLOOKUP(B24,пр.взв!$B$7:$H$38,7,0),"")</f>
        <v>Портнов С.В., Гагарин А.В.</v>
      </c>
    </row>
    <row r="25" spans="1:24" ht="24" customHeight="1">
      <c r="A25" s="260" t="s">
        <v>53</v>
      </c>
      <c r="B25" s="261">
        <f>пр.хода!AC27</f>
        <v>16</v>
      </c>
      <c r="C25" s="274" t="str">
        <f>IFERROR(VLOOKUP(B25,пр.взв!$B$7:$H$38,2,0),"")</f>
        <v xml:space="preserve">ПАСТЕРНАК  Денис Иванович </v>
      </c>
      <c r="D25" s="275" t="str">
        <f>IFERROR(VLOOKUP(B25,пр.взв!$B$7:$H$38,3,0),"")</f>
        <v>16.02.1999, МС</v>
      </c>
      <c r="E25" s="276" t="str">
        <f>IFERROR(VLOOKUP(B25,пр.взв!$B$7:$H$38,4,0),"")</f>
        <v>ЮФО</v>
      </c>
      <c r="F25" s="277" t="str">
        <f>IFERROR(VLOOKUP(B25,пр.взв!$B$7:$H$38,5,0),"")</f>
        <v>Краснодарский, Курганинск, ВС</v>
      </c>
      <c r="G25" s="278">
        <f>IFERROR(VLOOKUP(B25,пр.взв!$B$7:$H$38,6,0),"")</f>
        <v>0</v>
      </c>
      <c r="H25" s="279" t="str">
        <f>IFERROR(VLOOKUP(B25,пр.взв!$B$7:$H$38,7,0),"")</f>
        <v>Потапов И.С.</v>
      </c>
    </row>
    <row r="26" spans="1:24" ht="24" customHeight="1">
      <c r="A26" s="260" t="s">
        <v>54</v>
      </c>
      <c r="B26" s="261">
        <f>пр.хода!AB11</f>
        <v>1</v>
      </c>
      <c r="C26" s="274" t="str">
        <f>IFERROR(VLOOKUP(B26,пр.взв!$B$7:$H$38,2,0),"")</f>
        <v xml:space="preserve">ШИЛОВ  Дмитрий  Андреевич </v>
      </c>
      <c r="D26" s="275" t="str">
        <f>IFERROR(VLOOKUP(B26,пр.взв!$B$7:$H$38,3,0),"")</f>
        <v>05.06.2001, МС</v>
      </c>
      <c r="E26" s="276" t="str">
        <f>IFERROR(VLOOKUP(B26,пр.взв!$B$7:$H$38,4,0),"")</f>
        <v>МОС</v>
      </c>
      <c r="F26" s="277" t="str">
        <f>IFERROR(VLOOKUP(B26,пр.взв!$B$7:$H$38,5,0),"")</f>
        <v>Москва, МО</v>
      </c>
      <c r="G26" s="278">
        <f>IFERROR(VLOOKUP(B26,пр.взв!$B$7:$H$38,6,0),"")</f>
        <v>0</v>
      </c>
      <c r="H26" s="279" t="str">
        <f>IFERROR(VLOOKUP(B26,пр.взв!$B$7:$H$38,7,0),"")</f>
        <v xml:space="preserve">Астахов Денис Борисович, Трескин Сергей Михайлович </v>
      </c>
    </row>
    <row r="27" spans="1:24" ht="24" customHeight="1">
      <c r="A27" s="260" t="s">
        <v>54</v>
      </c>
      <c r="B27" s="261">
        <f>пр.хода!AB21</f>
        <v>2</v>
      </c>
      <c r="C27" s="274" t="str">
        <f>IFERROR(VLOOKUP(B27,пр.взв!$B$7:$H$38,2,0),"")</f>
        <v>ГОМЛЕШКО Анзор  Алиевич</v>
      </c>
      <c r="D27" s="275" t="str">
        <f>IFERROR(VLOOKUP(B27,пр.взв!$B$7:$H$38,3,0),"")</f>
        <v>02.08.2003, МС</v>
      </c>
      <c r="E27" s="276" t="str">
        <f>IFERROR(VLOOKUP(B27,пр.взв!$B$7:$H$38,4,0),"")</f>
        <v>ЮФО</v>
      </c>
      <c r="F27" s="277" t="str">
        <f>IFERROR(VLOOKUP(B27,пр.взв!$B$7:$H$38,5,0),"")</f>
        <v>Р.Адыгея, Майкоп, МО</v>
      </c>
      <c r="G27" s="278">
        <f>IFERROR(VLOOKUP(B27,пр.взв!$B$7:$H$38,6,0),"")</f>
        <v>0</v>
      </c>
      <c r="H27" s="279" t="str">
        <f>IFERROR(VLOOKUP(B27,пр.взв!$B$7:$H$38,7,0),"")</f>
        <v>Гомлешко А.А., Делок А.А</v>
      </c>
    </row>
    <row r="28" spans="1:24" ht="24" customHeight="1">
      <c r="A28" s="260" t="s">
        <v>54</v>
      </c>
      <c r="B28" s="261">
        <f>пр.хода!AB16</f>
        <v>3</v>
      </c>
      <c r="C28" s="274" t="str">
        <f>IFERROR(VLOOKUP(B28,пр.взв!$B$7:$H$38,2,0),"")</f>
        <v>КОРОБКОВ Григорий Георгиевич</v>
      </c>
      <c r="D28" s="275" t="str">
        <f>IFERROR(VLOOKUP(B28,пр.взв!$B$7:$H$38,3,0),"")</f>
        <v>26.07.2003, КМС</v>
      </c>
      <c r="E28" s="276" t="str">
        <f>IFERROR(VLOOKUP(B28,пр.взв!$B$7:$H$38,4,0),"")</f>
        <v>СПБ</v>
      </c>
      <c r="F28" s="277" t="str">
        <f>IFERROR(VLOOKUP(B28,пр.взв!$B$7:$H$38,5,0),"")</f>
        <v>Санкт-Петербург, МО</v>
      </c>
      <c r="G28" s="278">
        <f>IFERROR(VLOOKUP(B28,пр.взв!$B$7:$H$38,6,0),"")</f>
        <v>0</v>
      </c>
      <c r="H28" s="279" t="str">
        <f>IFERROR(VLOOKUP(B28,пр.взв!$B$7:$H$38,7,0),"")</f>
        <v>Свирида Е.Ф.</v>
      </c>
    </row>
    <row r="29" spans="1:24" ht="24" customHeight="1">
      <c r="A29" s="260" t="s">
        <v>54</v>
      </c>
      <c r="B29" s="261">
        <f>пр.хода!AB26</f>
        <v>4</v>
      </c>
      <c r="C29" s="274" t="str">
        <f>IFERROR(VLOOKUP(B29,пр.взв!$B$7:$H$38,2,0),"")</f>
        <v>ЛУКЬЯНЧУК Николай Александрович</v>
      </c>
      <c r="D29" s="275" t="str">
        <f>IFERROR(VLOOKUP(B29,пр.взв!$B$7:$H$38,3,0),"")</f>
        <v>23.01.2001, МС</v>
      </c>
      <c r="E29" s="276" t="str">
        <f>IFERROR(VLOOKUP(B29,пр.взв!$B$7:$H$38,4,0),"")</f>
        <v>УФО</v>
      </c>
      <c r="F29" s="277" t="str">
        <f>IFERROR(VLOOKUP(B29,пр.взв!$B$7:$H$38,5,0),"")</f>
        <v>ХМАО-Югра, Нижневартовск, ВС</v>
      </c>
      <c r="G29" s="280">
        <f>IFERROR(VLOOKUP(B29,пр.взв!$B$7:$H$38,6,0),"")</f>
        <v>0</v>
      </c>
      <c r="H29" s="279" t="str">
        <f>IFERROR(VLOOKUP(B29,пр.взв!$B$7:$H$38,7,0),"")</f>
        <v xml:space="preserve">Воробьев В. В., Ситдиков О. Р. </v>
      </c>
    </row>
    <row r="30" spans="1:24" ht="24" customHeight="1">
      <c r="A30" s="260" t="s">
        <v>54</v>
      </c>
      <c r="B30" s="261">
        <f>пр.хода!AB13</f>
        <v>5</v>
      </c>
      <c r="C30" s="274" t="str">
        <f>IFERROR(VLOOKUP(B30,пр.взв!$B$7:$H$38,2,0),"")</f>
        <v>ЭМИНОВ Магамед Ширинович</v>
      </c>
      <c r="D30" s="275" t="str">
        <f>IFERROR(VLOOKUP(B30,пр.взв!$B$7:$H$38,3,0),"")</f>
        <v>02.07.2000, МС</v>
      </c>
      <c r="E30" s="276" t="str">
        <f>IFERROR(VLOOKUP(B30,пр.взв!$B$7:$H$38,4,0),"")</f>
        <v>ЦФО</v>
      </c>
      <c r="F30" s="277" t="str">
        <f>IFERROR(VLOOKUP(B30,пр.взв!$B$7:$H$38,5,0),"")</f>
        <v>Костромская, Кострома, ВС</v>
      </c>
      <c r="G30" s="280">
        <f>IFERROR(VLOOKUP(B30,пр.взв!$B$7:$H$38,6,0),"")</f>
        <v>0</v>
      </c>
      <c r="H30" s="279" t="str">
        <f>IFERROR(VLOOKUP(B30,пр.взв!$B$7:$H$38,7,0),"")</f>
        <v>Степанов А.А.</v>
      </c>
    </row>
    <row r="31" spans="1:24" ht="24" customHeight="1">
      <c r="A31" s="260" t="s">
        <v>54</v>
      </c>
      <c r="B31" s="261">
        <f>пр.хода!AB23</f>
        <v>6</v>
      </c>
      <c r="C31" s="274" t="str">
        <f>IFERROR(VLOOKUP(B31,пр.взв!$B$7:$H$38,2,0),"")</f>
        <v>МАМЕДОВ Камран Кямилевич</v>
      </c>
      <c r="D31" s="275" t="str">
        <f>IFERROR(VLOOKUP(B31,пр.взв!$B$7:$H$38,3,0),"")</f>
        <v>07.04.1999, МС</v>
      </c>
      <c r="E31" s="276" t="str">
        <f>IFERROR(VLOOKUP(B31,пр.взв!$B$7:$H$38,4,0),"")</f>
        <v>МОС</v>
      </c>
      <c r="F31" s="277" t="str">
        <f>IFERROR(VLOOKUP(B31,пр.взв!$B$7:$H$38,5,0),"")</f>
        <v>Москва, Москва, МО</v>
      </c>
      <c r="G31" s="280">
        <f>IFERROR(VLOOKUP(B31,пр.взв!$B$7:$H$38,6,0),"")</f>
        <v>0</v>
      </c>
      <c r="H31" s="279" t="str">
        <f>IFERROR(VLOOKUP(B31,пр.взв!$B$7:$H$38,7,0),"")</f>
        <v>Гончаров Ю.С., Мартынов М.Г.</v>
      </c>
    </row>
    <row r="32" spans="1:24" ht="24" customHeight="1">
      <c r="A32" s="260" t="s">
        <v>54</v>
      </c>
      <c r="B32" s="261">
        <f>пр.хода!AB18</f>
        <v>7</v>
      </c>
      <c r="C32" s="274" t="str">
        <f>IFERROR(VLOOKUP(B32,пр.взв!$B$7:$H$38,2,0),"")</f>
        <v xml:space="preserve">ИВАНОВ Павел Владимирович </v>
      </c>
      <c r="D32" s="275" t="str">
        <f>IFERROR(VLOOKUP(B32,пр.взв!$B$7:$H$38,3,0),"")</f>
        <v>19.05.2003, КМС</v>
      </c>
      <c r="E32" s="276" t="str">
        <f>IFERROR(VLOOKUP(B32,пр.взв!$B$7:$H$38,4,0),"")</f>
        <v>ПФО</v>
      </c>
      <c r="F32" s="277" t="str">
        <f>IFERROR(VLOOKUP(B32,пр.взв!$B$7:$H$38,5,0),"")</f>
        <v>Чувашская, Чебоксары, МС</v>
      </c>
      <c r="G32" s="280">
        <f>IFERROR(VLOOKUP(B32,пр.взв!$B$7:$H$38,6,0),"")</f>
        <v>0</v>
      </c>
      <c r="H32" s="279" t="str">
        <f>IFERROR(VLOOKUP(B32,пр.взв!$B$7:$H$38,7,0),"")</f>
        <v>Матвеев Р.В. Пегасов С.В.</v>
      </c>
    </row>
    <row r="33" spans="1:8" ht="24" customHeight="1">
      <c r="A33" s="260" t="s">
        <v>54</v>
      </c>
      <c r="B33" s="265">
        <f>пр.хода!AB28</f>
        <v>8</v>
      </c>
      <c r="C33" s="274" t="str">
        <f>IFERROR(VLOOKUP(B33,пр.взв!$B$7:$H$38,2,0),"")</f>
        <v>УЛЬЯНОВ Федор  Александрович</v>
      </c>
      <c r="D33" s="275" t="str">
        <f>IFERROR(VLOOKUP(B33,пр.взв!$B$7:$H$38,3,0),"")</f>
        <v>27.02.2002, КМС</v>
      </c>
      <c r="E33" s="276" t="str">
        <f>IFERROR(VLOOKUP(B33,пр.взв!$B$7:$H$38,4,0),"")</f>
        <v>МОС</v>
      </c>
      <c r="F33" s="277" t="str">
        <f>IFERROR(VLOOKUP(B33,пр.взв!$B$7:$H$38,5,0),"")</f>
        <v>Москва, Москва, ВС</v>
      </c>
      <c r="G33" s="280">
        <f>IFERROR(VLOOKUP(B33,пр.взв!$B$7:$H$38,6,0),"")</f>
        <v>0</v>
      </c>
      <c r="H33" s="279" t="str">
        <f>IFERROR(VLOOKUP(B33,пр.взв!$B$7:$H$38,7,0),"")</f>
        <v xml:space="preserve">Богомолов В.А. , Мартынов И.В.. </v>
      </c>
    </row>
    <row r="34" spans="1:8" ht="24" customHeight="1">
      <c r="A34" s="260" t="s">
        <v>54</v>
      </c>
      <c r="B34" s="261">
        <f>пр.хода!AB12</f>
        <v>9</v>
      </c>
      <c r="C34" s="274" t="str">
        <f>IFERROR(VLOOKUP(B34,пр.взв!$B$7:$H$38,2,0),"")</f>
        <v xml:space="preserve">ДИЛМИЕВ  Фирзан  Флюрович </v>
      </c>
      <c r="D34" s="275" t="str">
        <f>IFERROR(VLOOKUP(B34,пр.взв!$B$7:$H$38,3,0),"")</f>
        <v>17.06.2003, КМС</v>
      </c>
      <c r="E34" s="276" t="str">
        <f>IFERROR(VLOOKUP(B34,пр.взв!$B$7:$H$38,4,0),"")</f>
        <v>ПФО</v>
      </c>
      <c r="F34" s="277" t="str">
        <f>IFERROR(VLOOKUP(B34,пр.взв!$B$7:$H$38,5,0),"")</f>
        <v>Чувашская, Чебоксары, МС</v>
      </c>
      <c r="G34" s="278">
        <f>IFERROR(VLOOKUP(B34,пр.взв!$B$7:$H$38,6,0),"")</f>
        <v>0</v>
      </c>
      <c r="H34" s="279" t="str">
        <f>IFERROR(VLOOKUP(B34,пр.взв!$B$7:$H$38,7,0),"")</f>
        <v>Аббязов Р.Р Пегасов С.В</v>
      </c>
    </row>
    <row r="35" spans="1:8" ht="24" customHeight="1">
      <c r="A35" s="260" t="s">
        <v>54</v>
      </c>
      <c r="B35" s="261">
        <f>пр.хода!AB22</f>
        <v>10</v>
      </c>
      <c r="C35" s="274" t="str">
        <f>IFERROR(VLOOKUP(B35,пр.взв!$B$7:$H$38,2,0),"")</f>
        <v>БАКОТИН Илья Максимович</v>
      </c>
      <c r="D35" s="275" t="str">
        <f>IFERROR(VLOOKUP(B35,пр.взв!$B$7:$H$38,3,0),"")</f>
        <v>27.12.2002, кмс</v>
      </c>
      <c r="E35" s="276" t="str">
        <f>IFERROR(VLOOKUP(B35,пр.взв!$B$7:$H$38,4,0),"")</f>
        <v>ЦФО</v>
      </c>
      <c r="F35" s="277" t="str">
        <f>IFERROR(VLOOKUP(B35,пр.взв!$B$7:$H$38,5,0),"")</f>
        <v>Московская, Дзержинсий, МО</v>
      </c>
      <c r="G35" s="278">
        <f>IFERROR(VLOOKUP(B35,пр.взв!$B$7:$H$38,6,0),"")</f>
        <v>0</v>
      </c>
      <c r="H35" s="279" t="str">
        <f>IFERROR(VLOOKUP(B35,пр.взв!$B$7:$H$38,7,0),"")</f>
        <v>Курдадзе ЛМ, Лецко АВ</v>
      </c>
    </row>
    <row r="36" spans="1:8" ht="24" customHeight="1">
      <c r="A36" s="260" t="s">
        <v>54</v>
      </c>
      <c r="B36" s="261">
        <f>пр.хода!AB17</f>
        <v>27</v>
      </c>
      <c r="C36" s="274">
        <f>IFERROR(VLOOKUP(B36,пр.взв!$B$7:$H$38,2,0),"")</f>
        <v>0</v>
      </c>
      <c r="D36" s="275">
        <f>IFERROR(VLOOKUP(B36,пр.взв!$B$7:$H$38,3,0),"")</f>
        <v>0</v>
      </c>
      <c r="E36" s="276">
        <f>IFERROR(VLOOKUP(B36,пр.взв!$B$7:$H$38,4,0),"")</f>
        <v>0</v>
      </c>
      <c r="F36" s="277">
        <f>IFERROR(VLOOKUP(B36,пр.взв!$B$7:$H$38,5,0),"")</f>
        <v>0</v>
      </c>
      <c r="G36" s="278">
        <f>IFERROR(VLOOKUP(B36,пр.взв!$B$7:$H$38,6,0),"")</f>
        <v>0</v>
      </c>
      <c r="H36" s="279">
        <f>IFERROR(VLOOKUP(B36,пр.взв!$B$7:$H$38,7,0),"")</f>
        <v>0</v>
      </c>
    </row>
    <row r="37" spans="1:8" ht="24" customHeight="1" thickBot="1">
      <c r="A37" s="266" t="s">
        <v>54</v>
      </c>
      <c r="B37" s="267">
        <f>пр.хода!AB27</f>
        <v>28</v>
      </c>
      <c r="C37" s="282">
        <f>IFERROR(VLOOKUP(B37,пр.взв!$B$7:$H$38,2,0),"")</f>
        <v>0</v>
      </c>
      <c r="D37" s="283">
        <f>IFERROR(VLOOKUP(B37,пр.взв!$B$7:$H$38,3,0),"")</f>
        <v>0</v>
      </c>
      <c r="E37" s="284">
        <f>IFERROR(VLOOKUP(B37,пр.взв!$B$7:$H$38,4,0),"")</f>
        <v>0</v>
      </c>
      <c r="F37" s="285">
        <f>IFERROR(VLOOKUP(B37,пр.взв!$B$7:$H$38,5,0),"")</f>
        <v>0</v>
      </c>
      <c r="G37" s="286">
        <f>IFERROR(VLOOKUP(B37,пр.взв!$B$7:$H$38,6,0),"")</f>
        <v>0</v>
      </c>
      <c r="H37" s="287">
        <f>IFERROR(VLOOKUP(B37,пр.взв!$B$7:$H$38,7,0),"")</f>
        <v>0</v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С.В.Пегасов</v>
      </c>
      <c r="G38" s="84" t="str">
        <f>пр.хода!F41</f>
        <v>/г.Чебоксары/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М.Р. Шарифзянов</v>
      </c>
      <c r="G39" s="84" t="str">
        <f>пр.хода!F43</f>
        <v>/Казань/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J6:J7"/>
    <mergeCell ref="K6:K7"/>
    <mergeCell ref="J8:J9"/>
    <mergeCell ref="K8:K9"/>
    <mergeCell ref="J10:J11"/>
    <mergeCell ref="K10:K11"/>
    <mergeCell ref="J12:J13"/>
    <mergeCell ref="K12:K13"/>
    <mergeCell ref="J14:J15"/>
    <mergeCell ref="K14:K15"/>
    <mergeCell ref="J16:J17"/>
    <mergeCell ref="K16:K17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35</xdr:col>
                    <xdr:colOff>76200</xdr:colOff>
                    <xdr:row>1</xdr:row>
                    <xdr:rowOff>333375</xdr:rowOff>
                  </from>
                  <to>
                    <xdr:col>36</xdr:col>
                    <xdr:colOff>104775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47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1" s="548"/>
      <c r="C1" s="548"/>
      <c r="D1" s="548"/>
      <c r="E1" s="548"/>
      <c r="F1" s="548"/>
      <c r="G1" s="548"/>
      <c r="H1" s="549"/>
    </row>
    <row r="2" spans="1:10" ht="12.75" customHeight="1">
      <c r="A2" s="550" t="str">
        <f>[1]реквизиты!$A$3</f>
        <v>17-21 января 2022года                          г.Кстово</v>
      </c>
      <c r="B2" s="550"/>
      <c r="C2" s="550"/>
      <c r="D2" s="550"/>
      <c r="E2" s="550"/>
      <c r="F2" s="550"/>
      <c r="G2" s="550"/>
      <c r="H2" s="550"/>
    </row>
    <row r="3" spans="1:10" ht="18.75" thickBot="1">
      <c r="A3" s="551" t="s">
        <v>26</v>
      </c>
      <c r="B3" s="551"/>
      <c r="C3" s="551"/>
      <c r="D3" s="551"/>
      <c r="E3" s="551"/>
      <c r="F3" s="551"/>
      <c r="G3" s="551"/>
      <c r="H3" s="551"/>
    </row>
    <row r="4" spans="1:10" ht="18.75" thickBot="1">
      <c r="B4" s="66"/>
      <c r="C4" s="67"/>
      <c r="D4" s="552" t="str">
        <f>пр.взв!D4</f>
        <v>В.к.58  кг.</v>
      </c>
      <c r="E4" s="553"/>
      <c r="F4" s="554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58" t="s">
        <v>27</v>
      </c>
      <c r="B6" s="541" t="str">
        <f>IFERROR(VLOOKUP(J6,пр.взв!$B$7:$H$38,2,0),"")</f>
        <v/>
      </c>
      <c r="C6" s="541"/>
      <c r="D6" s="541"/>
      <c r="E6" s="541"/>
      <c r="F6" s="541"/>
      <c r="G6" s="541"/>
      <c r="H6" s="543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59"/>
      <c r="B7" s="542"/>
      <c r="C7" s="542"/>
      <c r="D7" s="542"/>
      <c r="E7" s="542"/>
      <c r="F7" s="542"/>
      <c r="G7" s="542"/>
      <c r="H7" s="544"/>
      <c r="I7" s="67"/>
      <c r="J7" s="71"/>
    </row>
    <row r="8" spans="1:10" ht="12.75" customHeight="1">
      <c r="A8" s="559"/>
      <c r="B8" s="545" t="str">
        <f>IFERROR(VLOOKUP(J6,пр.взв!$B$7:$H$38,4,0),"")</f>
        <v/>
      </c>
      <c r="C8" s="545"/>
      <c r="D8" s="545"/>
      <c r="E8" s="545" t="str">
        <f>IFERROR(VLOOKUP(J6,пр.взв!$B$7:$H$38,5,0),"")</f>
        <v/>
      </c>
      <c r="F8" s="545"/>
      <c r="G8" s="545"/>
      <c r="H8" s="546"/>
      <c r="I8" s="67"/>
      <c r="J8" s="71"/>
    </row>
    <row r="9" spans="1:10" ht="13.5" customHeight="1" thickBot="1">
      <c r="A9" s="560"/>
      <c r="B9" s="539"/>
      <c r="C9" s="539"/>
      <c r="D9" s="539"/>
      <c r="E9" s="539"/>
      <c r="F9" s="539"/>
      <c r="G9" s="539"/>
      <c r="H9" s="540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55" t="s">
        <v>28</v>
      </c>
      <c r="B11" s="541" t="str">
        <f>IFERROR(VLOOKUP(J11,пр.взв!$B$7:$H$38,2,0),"")</f>
        <v/>
      </c>
      <c r="C11" s="541"/>
      <c r="D11" s="541"/>
      <c r="E11" s="541"/>
      <c r="F11" s="541"/>
      <c r="G11" s="541"/>
      <c r="H11" s="543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56"/>
      <c r="B12" s="542"/>
      <c r="C12" s="542"/>
      <c r="D12" s="542"/>
      <c r="E12" s="542"/>
      <c r="F12" s="542"/>
      <c r="G12" s="542"/>
      <c r="H12" s="544"/>
      <c r="I12" s="67"/>
      <c r="J12" s="71"/>
    </row>
    <row r="13" spans="1:10" ht="12.75" customHeight="1">
      <c r="A13" s="556"/>
      <c r="B13" s="545" t="str">
        <f>IFERROR(VLOOKUP(J11,пр.взв!$B$7:$H$38,4,0),"")</f>
        <v/>
      </c>
      <c r="C13" s="545"/>
      <c r="D13" s="545"/>
      <c r="E13" s="545" t="str">
        <f>IFERROR(VLOOKUP(J11,пр.взв!$B$7:$H$38,5,0),"")</f>
        <v/>
      </c>
      <c r="F13" s="545"/>
      <c r="G13" s="545"/>
      <c r="H13" s="546"/>
      <c r="I13" s="67"/>
      <c r="J13" s="71"/>
    </row>
    <row r="14" spans="1:10" ht="13.5" customHeight="1" thickBot="1">
      <c r="A14" s="557"/>
      <c r="B14" s="539"/>
      <c r="C14" s="539"/>
      <c r="D14" s="539"/>
      <c r="E14" s="539"/>
      <c r="F14" s="539"/>
      <c r="G14" s="539"/>
      <c r="H14" s="540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32" t="s">
        <v>29</v>
      </c>
      <c r="B16" s="541" t="str">
        <f>IFERROR(VLOOKUP(J16,пр.взв!$B$7:$H$38,2,0),"")</f>
        <v/>
      </c>
      <c r="C16" s="541"/>
      <c r="D16" s="541"/>
      <c r="E16" s="541"/>
      <c r="F16" s="541"/>
      <c r="G16" s="541"/>
      <c r="H16" s="543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33"/>
      <c r="B17" s="542"/>
      <c r="C17" s="542"/>
      <c r="D17" s="542"/>
      <c r="E17" s="542"/>
      <c r="F17" s="542"/>
      <c r="G17" s="542"/>
      <c r="H17" s="544"/>
      <c r="I17" s="67"/>
      <c r="J17" s="71"/>
    </row>
    <row r="18" spans="1:10" ht="12.75" customHeight="1">
      <c r="A18" s="533"/>
      <c r="B18" s="545" t="str">
        <f>IFERROR(VLOOKUP(J16,пр.взв!$B$7:$H$38,4,0),"")</f>
        <v/>
      </c>
      <c r="C18" s="545"/>
      <c r="D18" s="545"/>
      <c r="E18" s="545" t="str">
        <f>IFERROR(VLOOKUP(J16,пр.взв!$B$7:$H$38,5,0),"")</f>
        <v/>
      </c>
      <c r="F18" s="545"/>
      <c r="G18" s="545"/>
      <c r="H18" s="546"/>
      <c r="I18" s="67"/>
      <c r="J18" s="71"/>
    </row>
    <row r="19" spans="1:10" ht="13.5" customHeight="1" thickBot="1">
      <c r="A19" s="534"/>
      <c r="B19" s="539"/>
      <c r="C19" s="539"/>
      <c r="D19" s="539"/>
      <c r="E19" s="539"/>
      <c r="F19" s="539"/>
      <c r="G19" s="539"/>
      <c r="H19" s="540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32" t="s">
        <v>29</v>
      </c>
      <c r="B21" s="541" t="str">
        <f>IFERROR(VLOOKUP(J21,пр.взв!$B$7:$H$38,2,0),"")</f>
        <v/>
      </c>
      <c r="C21" s="541"/>
      <c r="D21" s="541"/>
      <c r="E21" s="541"/>
      <c r="F21" s="541"/>
      <c r="G21" s="541"/>
      <c r="H21" s="543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33"/>
      <c r="B22" s="542"/>
      <c r="C22" s="542"/>
      <c r="D22" s="542"/>
      <c r="E22" s="542"/>
      <c r="F22" s="542"/>
      <c r="G22" s="542"/>
      <c r="H22" s="544"/>
      <c r="I22" s="67"/>
      <c r="J22" s="71"/>
    </row>
    <row r="23" spans="1:10" ht="12.75" customHeight="1">
      <c r="A23" s="533"/>
      <c r="B23" s="545" t="str">
        <f>IFERROR(VLOOKUP(J21,пр.взв!$B$7:$H$38,4,0),"")</f>
        <v/>
      </c>
      <c r="C23" s="545"/>
      <c r="D23" s="545"/>
      <c r="E23" s="545" t="str">
        <f>IFERROR(VLOOKUP(J21,пр.взв!$B$7:$H$38,5,0),"")</f>
        <v/>
      </c>
      <c r="F23" s="545"/>
      <c r="G23" s="545"/>
      <c r="H23" s="546"/>
      <c r="I23" s="67"/>
    </row>
    <row r="24" spans="1:10" ht="13.5" customHeight="1" thickBot="1">
      <c r="A24" s="534"/>
      <c r="B24" s="539"/>
      <c r="C24" s="539"/>
      <c r="D24" s="539"/>
      <c r="E24" s="539"/>
      <c r="F24" s="539"/>
      <c r="G24" s="539"/>
      <c r="H24" s="540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35" t="str">
        <f>IFERROR(VLOOKUP(J28,пр.взв!$B$7:$H$38,7,0),"")</f>
        <v/>
      </c>
      <c r="B28" s="536"/>
      <c r="C28" s="536"/>
      <c r="D28" s="536"/>
      <c r="E28" s="536"/>
      <c r="F28" s="536"/>
      <c r="G28" s="536"/>
      <c r="H28" s="537"/>
      <c r="J28">
        <f>пр.хода!K17</f>
        <v>0</v>
      </c>
    </row>
    <row r="29" spans="1:10" ht="13.5" customHeight="1" thickBot="1">
      <c r="A29" s="538"/>
      <c r="B29" s="539"/>
      <c r="C29" s="539"/>
      <c r="D29" s="539"/>
      <c r="E29" s="539"/>
      <c r="F29" s="539"/>
      <c r="G29" s="539"/>
      <c r="H29" s="540"/>
    </row>
    <row r="32" spans="1:10" ht="18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66" t="s">
        <v>109</v>
      </c>
      <c r="B1" s="566"/>
      <c r="C1" s="566"/>
      <c r="D1" s="566"/>
      <c r="E1" s="566"/>
      <c r="F1" s="566"/>
      <c r="G1" s="566"/>
      <c r="H1" s="566" t="s">
        <v>109</v>
      </c>
      <c r="I1" s="566"/>
      <c r="J1" s="566"/>
      <c r="K1" s="566"/>
      <c r="L1" s="566"/>
      <c r="M1" s="566"/>
      <c r="N1" s="566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67" t="s">
        <v>108</v>
      </c>
      <c r="B2" s="568"/>
      <c r="C2" s="568"/>
      <c r="D2" s="568"/>
      <c r="E2" s="568"/>
      <c r="F2" s="568"/>
      <c r="G2" s="568"/>
      <c r="H2" s="567" t="s">
        <v>108</v>
      </c>
      <c r="I2" s="568"/>
      <c r="J2" s="568"/>
      <c r="K2" s="568"/>
      <c r="L2" s="568"/>
      <c r="M2" s="568"/>
      <c r="N2" s="568"/>
      <c r="O2" s="38"/>
      <c r="P2" s="38"/>
      <c r="Q2" s="38"/>
      <c r="R2" s="30"/>
      <c r="S2" s="30"/>
    </row>
    <row r="3" spans="1:33" ht="15.75">
      <c r="B3" s="37" t="s">
        <v>10</v>
      </c>
      <c r="C3" s="494" t="str">
        <f>HYPERLINK(пр.взв!D4)</f>
        <v>В.к.58  кг.</v>
      </c>
      <c r="D3" s="494"/>
      <c r="E3" s="41"/>
      <c r="F3" s="41"/>
      <c r="G3" s="41"/>
      <c r="I3" s="37" t="s">
        <v>11</v>
      </c>
      <c r="J3" s="494" t="str">
        <f>HYPERLINK(пр.взв!D4)</f>
        <v>В.к.58  кг.</v>
      </c>
      <c r="K3" s="494"/>
      <c r="L3" s="41"/>
      <c r="M3" s="41"/>
      <c r="N3" s="41"/>
    </row>
    <row r="4" spans="1:33" ht="16.5" thickBot="1">
      <c r="A4" s="565"/>
      <c r="B4" s="565"/>
    </row>
    <row r="5" spans="1:33" ht="12.75" customHeight="1">
      <c r="A5" s="569">
        <v>1</v>
      </c>
      <c r="B5" s="571" t="str">
        <f>VLOOKUP(A5,пр.взв!B5:C38,2,FALSE)</f>
        <v xml:space="preserve">ШИЛОВ  Дмитрий  Андреевич </v>
      </c>
      <c r="C5" s="571" t="str">
        <f>VLOOKUP(A5,пр.взв!B5:G38,3,FALSE)</f>
        <v>05.06.2001, МС</v>
      </c>
      <c r="D5" s="571" t="str">
        <f>VLOOKUP(A5,пр.взв!B5:G38,4,FALSE)</f>
        <v>МОС</v>
      </c>
      <c r="G5" s="19"/>
      <c r="H5" s="563">
        <v>2</v>
      </c>
      <c r="I5" s="561" t="str">
        <f>VLOOKUP(H5,пр.взв!B7:C38,2,FALSE)</f>
        <v>ГОМЛЕШКО Анзор  Алиевич</v>
      </c>
      <c r="J5" s="561" t="str">
        <f>VLOOKUP(H5,пр.взв!B7:E38,3,FALSE)</f>
        <v>02.08.2003, МС</v>
      </c>
      <c r="K5" s="561" t="str">
        <f>VLOOKUP(H5,пр.взв!B7:E38,4,FALSE)</f>
        <v>ЮФО</v>
      </c>
    </row>
    <row r="6" spans="1:33" ht="15.75">
      <c r="A6" s="570"/>
      <c r="B6" s="572"/>
      <c r="C6" s="572"/>
      <c r="D6" s="572"/>
      <c r="E6" s="2"/>
      <c r="F6" s="2"/>
      <c r="G6" s="12"/>
      <c r="H6" s="564"/>
      <c r="I6" s="562"/>
      <c r="J6" s="562"/>
      <c r="K6" s="562"/>
    </row>
    <row r="7" spans="1:33" ht="15.75">
      <c r="A7" s="570">
        <v>17</v>
      </c>
      <c r="B7" s="562" t="str">
        <f>VLOOKUP(A7,пр.взв!B7:C38,2,FALSE)</f>
        <v>МАКАРОВ  Эзен  Радимович</v>
      </c>
      <c r="C7" s="562" t="str">
        <f>VLOOKUP(A7,пр.взв!B5:G38,3,FALSE)</f>
        <v>26.05.2000, МС</v>
      </c>
      <c r="D7" s="562" t="str">
        <f>VLOOKUP(A7,пр.взв!B5:G38,4,FALSE)</f>
        <v>СФО</v>
      </c>
      <c r="E7" s="4"/>
      <c r="F7" s="2"/>
      <c r="G7" s="2"/>
      <c r="H7" s="576">
        <v>18</v>
      </c>
      <c r="I7" s="573" t="str">
        <f>VLOOKUP(H7,пр.взв!B9:C38,2,FALSE)</f>
        <v xml:space="preserve">КУЗНЕЦОВ  Константин Александрович </v>
      </c>
      <c r="J7" s="573" t="str">
        <f>VLOOKUP(H7,пр.взв!B9:E38,3,FALSE)</f>
        <v>27.12.2003, КМС</v>
      </c>
      <c r="K7" s="573" t="str">
        <f>VLOOKUP(H7,пр.взв!B9:E38,4,FALSE)</f>
        <v>ПФО</v>
      </c>
      <c r="L7" s="43"/>
      <c r="M7" s="45"/>
    </row>
    <row r="8" spans="1:33" ht="16.5" thickBot="1">
      <c r="A8" s="575"/>
      <c r="B8" s="572"/>
      <c r="C8" s="572"/>
      <c r="D8" s="572"/>
      <c r="E8" s="5"/>
      <c r="F8" s="9"/>
      <c r="G8" s="2"/>
      <c r="H8" s="564"/>
      <c r="I8" s="574"/>
      <c r="J8" s="574"/>
      <c r="K8" s="574"/>
      <c r="L8" s="44"/>
      <c r="M8" s="45"/>
    </row>
    <row r="9" spans="1:33" ht="15.75">
      <c r="A9" s="569">
        <v>9</v>
      </c>
      <c r="B9" s="571" t="str">
        <f>VLOOKUP(A9,пр.взв!B9:C38,2,FALSE)</f>
        <v xml:space="preserve">ДИЛМИЕВ  Фирзан  Флюрович </v>
      </c>
      <c r="C9" s="571" t="str">
        <f>VLOOKUP(A9,пр.взв!B5:G38,3,FALSE)</f>
        <v>17.06.2003, КМС</v>
      </c>
      <c r="D9" s="571" t="str">
        <f>VLOOKUP(A9,пр.взв!B5:G38,4,FALSE)</f>
        <v>ПФО</v>
      </c>
      <c r="E9" s="5"/>
      <c r="F9" s="6"/>
      <c r="G9" s="2"/>
      <c r="H9" s="563">
        <v>10</v>
      </c>
      <c r="I9" s="561" t="str">
        <f>VLOOKUP(H9,пр.взв!B11:C38,2,FALSE)</f>
        <v>БАКОТИН Илья Максимович</v>
      </c>
      <c r="J9" s="561" t="str">
        <f>VLOOKUP(H9,пр.взв!B11:E38,3,FALSE)</f>
        <v>27.12.2002, кмс</v>
      </c>
      <c r="K9" s="561" t="str">
        <f>VLOOKUP(H9,пр.взв!B11:E38,4,FALSE)</f>
        <v>ЦФО</v>
      </c>
      <c r="L9" s="44"/>
      <c r="M9" s="46"/>
    </row>
    <row r="10" spans="1:33" ht="15.75">
      <c r="A10" s="570"/>
      <c r="B10" s="572"/>
      <c r="C10" s="572"/>
      <c r="D10" s="572"/>
      <c r="E10" s="10"/>
      <c r="F10" s="7"/>
      <c r="G10" s="2"/>
      <c r="H10" s="564"/>
      <c r="I10" s="562"/>
      <c r="J10" s="562"/>
      <c r="K10" s="562"/>
      <c r="L10" s="42"/>
      <c r="M10" s="47"/>
    </row>
    <row r="11" spans="1:33" ht="15.75">
      <c r="A11" s="570">
        <v>25</v>
      </c>
      <c r="B11" s="562" t="str">
        <f>VLOOKUP(A11,пр.взв!B11:C38,2,FALSE)</f>
        <v>УСОВ Дмитрий Николаевич</v>
      </c>
      <c r="C11" s="562" t="str">
        <f>VLOOKUP(A11,пр.взв!B5:G38,3,FALSE)</f>
        <v>26.10.1999, МС</v>
      </c>
      <c r="D11" s="562" t="str">
        <f>VLOOKUP(A11,пр.взв!B5:G38,4,FALSE)</f>
        <v>ЦФО</v>
      </c>
      <c r="E11" s="3"/>
      <c r="F11" s="7"/>
      <c r="G11" s="2"/>
      <c r="H11" s="576">
        <v>26</v>
      </c>
      <c r="I11" s="573" t="str">
        <f>VLOOKUP(H11,пр.взв!B13:C38,2,FALSE)</f>
        <v xml:space="preserve">АГАДЖАНЯН  Ален Ишханович </v>
      </c>
      <c r="J11" s="573" t="str">
        <f>VLOOKUP(H11,пр.взв!B13:E38,3,FALSE)</f>
        <v>07.01.2002, КМС</v>
      </c>
      <c r="K11" s="573" t="str">
        <f>VLOOKUP(H11,пр.взв!B13:E38,4,FALSE)</f>
        <v>СФО</v>
      </c>
      <c r="M11" s="48"/>
    </row>
    <row r="12" spans="1:33" ht="16.5" thickBot="1">
      <c r="A12" s="575"/>
      <c r="B12" s="572"/>
      <c r="C12" s="572"/>
      <c r="D12" s="572"/>
      <c r="E12" s="2"/>
      <c r="F12" s="7"/>
      <c r="G12" s="9"/>
      <c r="H12" s="564"/>
      <c r="I12" s="574"/>
      <c r="J12" s="574"/>
      <c r="K12" s="574"/>
      <c r="M12" s="48"/>
    </row>
    <row r="13" spans="1:33" ht="15.75">
      <c r="A13" s="569">
        <v>5</v>
      </c>
      <c r="B13" s="571" t="e">
        <f>VLOOKUP(A13,пр.взв!B13:C38,2,FALSE)</f>
        <v>#N/A</v>
      </c>
      <c r="C13" s="571" t="str">
        <f>VLOOKUP(A13,пр.взв!B5:G38,3,FALSE)</f>
        <v>02.07.2000, МС</v>
      </c>
      <c r="D13" s="571" t="str">
        <f>VLOOKUP(A13,пр.взв!B5:G38,4,FALSE)</f>
        <v>ЦФО</v>
      </c>
      <c r="E13" s="2"/>
      <c r="F13" s="7"/>
      <c r="G13" s="13"/>
      <c r="H13" s="563">
        <v>6</v>
      </c>
      <c r="I13" s="561" t="e">
        <f>VLOOKUP(H13,пр.взв!B15:C40,2,FALSE)</f>
        <v>#N/A</v>
      </c>
      <c r="J13" s="561" t="e">
        <f>VLOOKUP(H13,пр.взв!B15:E40,3,FALSE)</f>
        <v>#N/A</v>
      </c>
      <c r="K13" s="561" t="e">
        <f>VLOOKUP(H13,пр.взв!B15:E40,4,FALSE)</f>
        <v>#N/A</v>
      </c>
      <c r="M13" s="48"/>
      <c r="N13" s="50"/>
    </row>
    <row r="14" spans="1:33" ht="15.75">
      <c r="A14" s="570"/>
      <c r="B14" s="572"/>
      <c r="C14" s="572"/>
      <c r="D14" s="572"/>
      <c r="E14" s="8"/>
      <c r="F14" s="7"/>
      <c r="G14" s="2"/>
      <c r="H14" s="564"/>
      <c r="I14" s="562"/>
      <c r="J14" s="562"/>
      <c r="K14" s="562"/>
      <c r="L14" s="43"/>
      <c r="M14" s="47"/>
      <c r="N14" s="48"/>
    </row>
    <row r="15" spans="1:33" ht="15.75">
      <c r="A15" s="570">
        <v>21</v>
      </c>
      <c r="B15" s="562" t="str">
        <f>VLOOKUP(A15,пр.взв!B15:C40,2,FALSE)</f>
        <v xml:space="preserve">ТЛИШЕВ  Харун  Аминович </v>
      </c>
      <c r="C15" s="562" t="str">
        <f>VLOOKUP(A15,пр.взв!B5:G38,3,FALSE)</f>
        <v>15.11.1999, МСМК</v>
      </c>
      <c r="D15" s="562" t="str">
        <f>VLOOKUP(A15,пр.взв!B5:G38,4,FALSE)</f>
        <v>ЮФО</v>
      </c>
      <c r="E15" s="4"/>
      <c r="F15" s="7"/>
      <c r="G15" s="2"/>
      <c r="H15" s="576">
        <v>22</v>
      </c>
      <c r="I15" s="573" t="str">
        <f>VLOOKUP(H15,пр.взв!B17:C42,2,FALSE)</f>
        <v xml:space="preserve">ПЕТРОВ  Глеб  Владимирович </v>
      </c>
      <c r="J15" s="573" t="str">
        <f>VLOOKUP(H15,пр.взв!B17:E42,3,FALSE)</f>
        <v>22.05.2002, МС</v>
      </c>
      <c r="K15" s="573" t="str">
        <f>VLOOKUP(H15,пр.взв!B17:E42,4,FALSE)</f>
        <v>ЦФО</v>
      </c>
      <c r="L15" s="44"/>
      <c r="M15" s="47"/>
      <c r="N15" s="48"/>
    </row>
    <row r="16" spans="1:33" ht="16.5" thickBot="1">
      <c r="A16" s="575"/>
      <c r="B16" s="572"/>
      <c r="C16" s="572"/>
      <c r="D16" s="572"/>
      <c r="E16" s="5"/>
      <c r="F16" s="11"/>
      <c r="G16" s="2"/>
      <c r="H16" s="564"/>
      <c r="I16" s="574"/>
      <c r="J16" s="574"/>
      <c r="K16" s="574"/>
      <c r="L16" s="44"/>
      <c r="M16" s="49"/>
      <c r="N16" s="48"/>
    </row>
    <row r="17" spans="1:14" ht="15.75">
      <c r="A17" s="569">
        <v>13</v>
      </c>
      <c r="B17" s="571" t="str">
        <f>VLOOKUP(A17,пр.взв!B17:C42,2,FALSE)</f>
        <v>МАКСИМОВ Роман Влексеевич</v>
      </c>
      <c r="C17" s="571" t="str">
        <f>VLOOKUP(A17,пр.взв!B5:G38,3,FALSE)</f>
        <v>27.04.2001, КМС</v>
      </c>
      <c r="D17" s="571" t="str">
        <f>VLOOKUP(A17,пр.взв!B5:G38,4,FALSE)</f>
        <v>ПФО</v>
      </c>
      <c r="E17" s="5"/>
      <c r="F17" s="2"/>
      <c r="G17" s="2"/>
      <c r="H17" s="563">
        <v>14</v>
      </c>
      <c r="I17" s="561" t="str">
        <f>VLOOKUP(H17,пр.взв!B19:C44,2,FALSE)</f>
        <v>ПЕРЕПЕЛИЦЫН Даниил Андреевич</v>
      </c>
      <c r="J17" s="561" t="str">
        <f>VLOOKUP(H17,пр.взв!B19:E44,3,FALSE)</f>
        <v>23.02.2002, МС</v>
      </c>
      <c r="K17" s="561" t="str">
        <f>VLOOKUP(H17,пр.взв!B19:E44,4,FALSE)</f>
        <v>ЮФО</v>
      </c>
      <c r="L17" s="44"/>
      <c r="M17" s="45"/>
      <c r="N17" s="48"/>
    </row>
    <row r="18" spans="1:14" ht="15.75">
      <c r="A18" s="570"/>
      <c r="B18" s="572"/>
      <c r="C18" s="572"/>
      <c r="D18" s="572"/>
      <c r="E18" s="10"/>
      <c r="F18" s="2"/>
      <c r="G18" s="2"/>
      <c r="H18" s="564"/>
      <c r="I18" s="562"/>
      <c r="J18" s="562"/>
      <c r="K18" s="562"/>
      <c r="L18" s="42"/>
      <c r="M18" s="45"/>
      <c r="N18" s="48"/>
    </row>
    <row r="19" spans="1:14" ht="15.75">
      <c r="A19" s="570">
        <v>29</v>
      </c>
      <c r="B19" s="562">
        <f>VLOOKUP(A19,пр.взв!B19:C44,2,FALSE)</f>
        <v>0</v>
      </c>
      <c r="C19" s="562">
        <f>VLOOKUP(A19,пр.взв!B5:G38,3,FALSE)</f>
        <v>0</v>
      </c>
      <c r="D19" s="562">
        <f>VLOOKUP(A19,пр.взв!B5:G38,4,FALSE)</f>
        <v>0</v>
      </c>
      <c r="E19" s="3"/>
      <c r="F19" s="2"/>
      <c r="G19" s="2"/>
      <c r="H19" s="576">
        <v>30</v>
      </c>
      <c r="I19" s="573">
        <f>VLOOKUP(H19,пр.взв!B21:C46,2,FALSE)</f>
        <v>0</v>
      </c>
      <c r="J19" s="573">
        <f>VLOOKUP(H19,пр.взв!B21:E46,3,FALSE)</f>
        <v>0</v>
      </c>
      <c r="K19" s="573">
        <f>VLOOKUP(H19,пр.взв!B21:E46,4,FALSE)</f>
        <v>0</v>
      </c>
      <c r="N19" s="48"/>
    </row>
    <row r="20" spans="1:14" ht="16.5" thickBot="1">
      <c r="A20" s="575"/>
      <c r="B20" s="572"/>
      <c r="C20" s="572"/>
      <c r="D20" s="572"/>
      <c r="E20" s="2"/>
      <c r="F20" s="2"/>
      <c r="G20" s="40"/>
      <c r="H20" s="564"/>
      <c r="I20" s="574"/>
      <c r="J20" s="574"/>
      <c r="K20" s="574"/>
      <c r="N20" s="51"/>
    </row>
    <row r="21" spans="1:14" ht="15.75">
      <c r="A21" s="569">
        <v>3</v>
      </c>
      <c r="B21" s="571" t="str">
        <f>VLOOKUP(A21,пр.взв!B5:C38,2,FALSE)</f>
        <v>КОРОБКОВ Григорий Георгиевич</v>
      </c>
      <c r="C21" s="571" t="str">
        <f>VLOOKUP(A21,пр.взв!B5:G38,3,FALSE)</f>
        <v>26.07.2003, КМС</v>
      </c>
      <c r="D21" s="571" t="str">
        <f>VLOOKUP(A21,пр.взв!B5:G38,4,FALSE)</f>
        <v>СПБ</v>
      </c>
      <c r="E21" s="2"/>
      <c r="F21" s="2"/>
      <c r="G21" s="2"/>
      <c r="H21" s="563">
        <v>4</v>
      </c>
      <c r="I21" s="561" t="str">
        <f>VLOOKUP(H21,пр.взв!B7:C38,2,FALSE)</f>
        <v>ЛУКЬЯНЧУК Николай Александрович</v>
      </c>
      <c r="J21" s="561" t="str">
        <f>VLOOKUP(H21,пр.взв!B7:E38,3,FALSE)</f>
        <v>23.01.2001, МС</v>
      </c>
      <c r="K21" s="561" t="str">
        <f>VLOOKUP(H21,пр.взв!B7:E38,4,FALSE)</f>
        <v>УФО</v>
      </c>
      <c r="N21" s="48"/>
    </row>
    <row r="22" spans="1:14" ht="15.75">
      <c r="A22" s="570"/>
      <c r="B22" s="572"/>
      <c r="C22" s="572"/>
      <c r="D22" s="572"/>
      <c r="E22" s="8"/>
      <c r="F22" s="2"/>
      <c r="G22" s="2"/>
      <c r="H22" s="564"/>
      <c r="I22" s="562"/>
      <c r="J22" s="562"/>
      <c r="K22" s="562"/>
      <c r="N22" s="48"/>
    </row>
    <row r="23" spans="1:14" ht="15.75">
      <c r="A23" s="570">
        <v>19</v>
      </c>
      <c r="B23" s="562" t="str">
        <f>VLOOKUP(A23,пр.взв!B23:C48,2,FALSE)</f>
        <v xml:space="preserve">ОНИЩЕНКО  Андрей  Антониевич </v>
      </c>
      <c r="C23" s="562" t="str">
        <f>VLOOKUP(A23,пр.взв!B5:G38,3,FALSE)</f>
        <v>07.02.2001, МС</v>
      </c>
      <c r="D23" s="562" t="str">
        <f>VLOOKUP(A23,пр.взв!B5:G38,4,FALSE)</f>
        <v>СФО</v>
      </c>
      <c r="E23" s="4"/>
      <c r="F23" s="2"/>
      <c r="G23" s="2"/>
      <c r="H23" s="576">
        <v>20</v>
      </c>
      <c r="I23" s="573" t="str">
        <f>VLOOKUP(H23,пр.взв!B25:C50,2,FALSE)</f>
        <v>ГАДЖИЕВ Завир Агавердиевич</v>
      </c>
      <c r="J23" s="573" t="str">
        <f>VLOOKUP(H23,пр.взв!B25:E50,3,FALSE)</f>
        <v>27.11.2003, КМС</v>
      </c>
      <c r="K23" s="573" t="str">
        <f>VLOOKUP(H23,пр.взв!B25:E50,4,FALSE)</f>
        <v>СКФО</v>
      </c>
      <c r="L23" s="43"/>
      <c r="M23" s="45"/>
      <c r="N23" s="48"/>
    </row>
    <row r="24" spans="1:14" ht="16.5" thickBot="1">
      <c r="A24" s="575"/>
      <c r="B24" s="572"/>
      <c r="C24" s="572"/>
      <c r="D24" s="572"/>
      <c r="E24" s="5"/>
      <c r="F24" s="9"/>
      <c r="G24" s="2"/>
      <c r="H24" s="564"/>
      <c r="I24" s="574"/>
      <c r="J24" s="574"/>
      <c r="K24" s="574"/>
      <c r="L24" s="44"/>
      <c r="M24" s="45"/>
      <c r="N24" s="48"/>
    </row>
    <row r="25" spans="1:14" ht="15.75">
      <c r="A25" s="569">
        <v>11</v>
      </c>
      <c r="B25" s="571" t="e">
        <f>VLOOKUP(A25,пр.взв!B25:C50,2,FALSE)</f>
        <v>#N/A</v>
      </c>
      <c r="C25" s="571" t="str">
        <f>VLOOKUP(A25,пр.взв!B5:G38,3,FALSE)</f>
        <v>11.03.2001, МС</v>
      </c>
      <c r="D25" s="571" t="str">
        <f>VLOOKUP(A25,пр.взв!B5:G38,4,FALSE)</f>
        <v>МОС</v>
      </c>
      <c r="E25" s="5"/>
      <c r="F25" s="6"/>
      <c r="G25" s="2"/>
      <c r="H25" s="563">
        <v>12</v>
      </c>
      <c r="I25" s="561" t="e">
        <f>VLOOKUP(H25,пр.взв!B27:C52,2,FALSE)</f>
        <v>#N/A</v>
      </c>
      <c r="J25" s="561" t="e">
        <f>VLOOKUP(H25,пр.взв!B27:E52,3,FALSE)</f>
        <v>#N/A</v>
      </c>
      <c r="K25" s="561" t="e">
        <f>VLOOKUP(H25,пр.взв!B27:E52,4,FALSE)</f>
        <v>#N/A</v>
      </c>
      <c r="L25" s="44"/>
      <c r="M25" s="46"/>
      <c r="N25" s="48"/>
    </row>
    <row r="26" spans="1:14" ht="15.75">
      <c r="A26" s="570"/>
      <c r="B26" s="572"/>
      <c r="C26" s="572"/>
      <c r="D26" s="572"/>
      <c r="E26" s="10"/>
      <c r="F26" s="7"/>
      <c r="G26" s="2"/>
      <c r="H26" s="564"/>
      <c r="I26" s="562"/>
      <c r="J26" s="562"/>
      <c r="K26" s="562"/>
      <c r="L26" s="42"/>
      <c r="M26" s="47"/>
      <c r="N26" s="48"/>
    </row>
    <row r="27" spans="1:14" ht="15.75">
      <c r="A27" s="570">
        <v>27</v>
      </c>
      <c r="B27" s="562">
        <f>VLOOKUP(A27,пр.взв!B27:C52,2,FALSE)</f>
        <v>0</v>
      </c>
      <c r="C27" s="562">
        <f>VLOOKUP(A27,пр.взв!B5:G38,3,FALSE)</f>
        <v>0</v>
      </c>
      <c r="D27" s="562">
        <f>VLOOKUP(A27,пр.взв!B5:G38,4,FALSE)</f>
        <v>0</v>
      </c>
      <c r="E27" s="3"/>
      <c r="F27" s="7"/>
      <c r="G27" s="2"/>
      <c r="H27" s="576">
        <v>28</v>
      </c>
      <c r="I27" s="573">
        <f>VLOOKUP(H27,пр.взв!B29:C54,2,FALSE)</f>
        <v>0</v>
      </c>
      <c r="J27" s="573">
        <f>VLOOKUP(H27,пр.взв!B29:E54,3,FALSE)</f>
        <v>0</v>
      </c>
      <c r="K27" s="573">
        <f>VLOOKUP(H27,пр.взв!B29:E54,4,FALSE)</f>
        <v>0</v>
      </c>
      <c r="M27" s="48"/>
      <c r="N27" s="48"/>
    </row>
    <row r="28" spans="1:14" ht="16.5" thickBot="1">
      <c r="A28" s="575"/>
      <c r="B28" s="572"/>
      <c r="C28" s="572"/>
      <c r="D28" s="572"/>
      <c r="E28" s="2"/>
      <c r="F28" s="7"/>
      <c r="G28" s="2"/>
      <c r="H28" s="564"/>
      <c r="I28" s="574"/>
      <c r="J28" s="574"/>
      <c r="K28" s="574"/>
      <c r="M28" s="48"/>
      <c r="N28" s="48"/>
    </row>
    <row r="29" spans="1:14" ht="15.75">
      <c r="A29" s="569">
        <v>7</v>
      </c>
      <c r="B29" s="571" t="str">
        <f>VLOOKUP(A29,пр.взв!B5:C38,2,FALSE)</f>
        <v xml:space="preserve">ИВАНОВ Павел Владимирович </v>
      </c>
      <c r="C29" s="571" t="str">
        <f>VLOOKUP(A29,пр.взв!B5:G38,3,FALSE)</f>
        <v>19.05.2003, КМС</v>
      </c>
      <c r="D29" s="571" t="str">
        <f>VLOOKUP(A29,пр.взв!B5:G38,4,FALSE)</f>
        <v>ПФО</v>
      </c>
      <c r="E29" s="2"/>
      <c r="F29" s="7"/>
      <c r="G29" s="52"/>
      <c r="H29" s="563">
        <v>8</v>
      </c>
      <c r="I29" s="561" t="str">
        <f>VLOOKUP(H29,пр.взв!B7:C38,2,FALSE)</f>
        <v>УЛЬЯНОВ Федор  Александрович</v>
      </c>
      <c r="J29" s="561" t="str">
        <f>VLOOKUP(H29,пр.взв!B7:E38,3,FALSE)</f>
        <v>27.02.2002, КМС</v>
      </c>
      <c r="K29" s="561" t="str">
        <f>VLOOKUP(H29,пр.взв!B7:E38,4,FALSE)</f>
        <v>МОС</v>
      </c>
      <c r="M29" s="48"/>
      <c r="N29" s="51"/>
    </row>
    <row r="30" spans="1:14" ht="15.75">
      <c r="A30" s="570"/>
      <c r="B30" s="572"/>
      <c r="C30" s="572"/>
      <c r="D30" s="572"/>
      <c r="E30" s="8"/>
      <c r="F30" s="7"/>
      <c r="G30" s="2"/>
      <c r="H30" s="564"/>
      <c r="I30" s="562"/>
      <c r="J30" s="562"/>
      <c r="K30" s="562"/>
      <c r="M30" s="48"/>
    </row>
    <row r="31" spans="1:14" ht="15.75">
      <c r="A31" s="570">
        <v>23</v>
      </c>
      <c r="B31" s="562" t="e">
        <f>VLOOKUP(A31,пр.взв!B31:C56,2,FALSE)</f>
        <v>#N/A</v>
      </c>
      <c r="C31" s="562" t="str">
        <f>VLOOKUP(A31,пр.взв!B5:G38,3,FALSE)</f>
        <v>31.10.2002, КМС</v>
      </c>
      <c r="D31" s="562" t="str">
        <f>VLOOKUP(A31,пр.взв!B5:G38,4,FALSE)</f>
        <v>ЮФО</v>
      </c>
      <c r="E31" s="4"/>
      <c r="F31" s="7"/>
      <c r="G31" s="2"/>
      <c r="H31" s="576">
        <v>24</v>
      </c>
      <c r="I31" s="573" t="e">
        <f>VLOOKUP(H31,пр.взв!B33:C58,2,FALSE)</f>
        <v>#N/A</v>
      </c>
      <c r="J31" s="573" t="e">
        <f>VLOOKUP(H31,пр.взв!B33:E58,3,FALSE)</f>
        <v>#N/A</v>
      </c>
      <c r="K31" s="573" t="e">
        <f>VLOOKUP(H31,пр.взв!B33:E58,4,FALSE)</f>
        <v>#N/A</v>
      </c>
      <c r="L31" s="43"/>
      <c r="M31" s="47"/>
    </row>
    <row r="32" spans="1:14" ht="16.5" thickBot="1">
      <c r="A32" s="575"/>
      <c r="B32" s="572"/>
      <c r="C32" s="572"/>
      <c r="D32" s="572"/>
      <c r="E32" s="5"/>
      <c r="F32" s="11"/>
      <c r="G32" s="2"/>
      <c r="H32" s="564"/>
      <c r="I32" s="574"/>
      <c r="J32" s="574"/>
      <c r="K32" s="574"/>
      <c r="L32" s="44"/>
      <c r="M32" s="49"/>
    </row>
    <row r="33" spans="1:16" ht="15.75">
      <c r="A33" s="569">
        <v>15</v>
      </c>
      <c r="B33" s="571" t="e">
        <f>VLOOKUP(A33,пр.взв!B33:C58,2,FALSE)</f>
        <v>#N/A</v>
      </c>
      <c r="C33" s="571" t="str">
        <f>VLOOKUP(A33,пр.взв!B5:G38,3,FALSE)</f>
        <v>04.02.2003, КМС</v>
      </c>
      <c r="D33" s="571" t="str">
        <f>VLOOKUP(A33,пр.взв!B5:G38,4,FALSE)</f>
        <v>ЦФО</v>
      </c>
      <c r="E33" s="5"/>
      <c r="F33" s="2"/>
      <c r="G33" s="2"/>
      <c r="H33" s="563">
        <v>16</v>
      </c>
      <c r="I33" s="561" t="e">
        <f>VLOOKUP(H33,пр.взв!B35:C60,2,FALSE)</f>
        <v>#N/A</v>
      </c>
      <c r="J33" s="561" t="e">
        <f>VLOOKUP(H33,пр.взв!B35:E60,3,FALSE)</f>
        <v>#N/A</v>
      </c>
      <c r="K33" s="561" t="e">
        <f>VLOOKUP(H33,пр.взв!B35:E60,4,FALSE)</f>
        <v>#N/A</v>
      </c>
      <c r="L33" s="44"/>
      <c r="M33" s="45"/>
    </row>
    <row r="34" spans="1:16" ht="15.75">
      <c r="A34" s="570"/>
      <c r="B34" s="572"/>
      <c r="C34" s="572"/>
      <c r="D34" s="572"/>
      <c r="E34" s="10"/>
      <c r="F34" s="2"/>
      <c r="G34" s="2"/>
      <c r="H34" s="564"/>
      <c r="I34" s="562"/>
      <c r="J34" s="562"/>
      <c r="K34" s="562"/>
      <c r="L34" s="42"/>
      <c r="M34" s="45"/>
    </row>
    <row r="35" spans="1:16" ht="15.75">
      <c r="A35" s="570">
        <v>31</v>
      </c>
      <c r="B35" s="562">
        <f>VLOOKUP(A35,пр.взв!B35:C60,2,FALSE)</f>
        <v>0</v>
      </c>
      <c r="C35" s="562">
        <f>VLOOKUP(A35,пр.взв!B5:G38,3,FALSE)</f>
        <v>0</v>
      </c>
      <c r="D35" s="562">
        <f>VLOOKUP(A35,пр.взв!B5:G38,4,FALSE)</f>
        <v>0</v>
      </c>
      <c r="E35" s="3"/>
      <c r="F35" s="2"/>
      <c r="G35" s="2"/>
      <c r="H35" s="576">
        <v>32</v>
      </c>
      <c r="I35" s="573">
        <f>VLOOKUP(H35,пр.взв!B37:C62,2,FALSE)</f>
        <v>0</v>
      </c>
      <c r="J35" s="573">
        <f>VLOOKUP(H35,пр.взв!B37:E62,3,FALSE)</f>
        <v>0</v>
      </c>
      <c r="K35" s="573">
        <f>VLOOKUP(H35,пр.взв!B37:E62,4,FALSE)</f>
        <v>0</v>
      </c>
    </row>
    <row r="36" spans="1:16" ht="13.5" customHeight="1" thickBot="1">
      <c r="A36" s="575"/>
      <c r="B36" s="577"/>
      <c r="C36" s="577"/>
      <c r="D36" s="577"/>
      <c r="H36" s="578"/>
      <c r="I36" s="574"/>
      <c r="J36" s="574"/>
      <c r="K36" s="574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2022-01-17T18:32:25Z</cp:lastPrinted>
  <dcterms:created xsi:type="dcterms:W3CDTF">1996-10-08T23:32:33Z</dcterms:created>
  <dcterms:modified xsi:type="dcterms:W3CDTF">2022-01-17T18:44:01Z</dcterms:modified>
</cp:coreProperties>
</file>