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45621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G28" i="1" l="1"/>
  <c r="C4" i="3"/>
  <c r="C3" i="3"/>
  <c r="D5" i="4" l="1"/>
  <c r="C5" i="4"/>
  <c r="B23" i="7"/>
  <c r="B35" i="7" s="1"/>
  <c r="B43" i="7" s="1"/>
  <c r="B56" i="7" s="1"/>
  <c r="L23" i="7"/>
  <c r="L35" i="7" s="1"/>
  <c r="L43" i="7" s="1"/>
  <c r="L56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G27" i="1"/>
  <c r="G25" i="1"/>
  <c r="G24" i="1"/>
  <c r="A24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B13" i="1"/>
  <c r="G13" i="1" s="1"/>
  <c r="B12" i="1"/>
  <c r="C12" i="1" s="1"/>
  <c r="B21" i="1"/>
  <c r="C21" i="1" s="1"/>
  <c r="B19" i="1"/>
  <c r="C19" i="1" s="1"/>
  <c r="B20" i="1"/>
  <c r="H20" i="1" s="1"/>
  <c r="B18" i="1"/>
  <c r="F18" i="1" s="1"/>
  <c r="B14" i="1"/>
  <c r="G14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7" i="1"/>
  <c r="B11" i="1"/>
  <c r="D11" i="1" s="1"/>
  <c r="B17" i="1"/>
  <c r="E17" i="1" s="1"/>
  <c r="B9" i="5"/>
  <c r="B16" i="1"/>
  <c r="G16" i="1" s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E20" i="1"/>
  <c r="D7" i="5"/>
  <c r="D20" i="1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G19" i="1"/>
  <c r="C32" i="5"/>
  <c r="L2" i="7"/>
  <c r="Q24" i="7" s="1"/>
  <c r="F9" i="1"/>
  <c r="J12" i="1" s="1"/>
  <c r="V1" i="1" s="1"/>
  <c r="D9" i="1"/>
  <c r="H15" i="1"/>
  <c r="H9" i="1"/>
  <c r="G8" i="1"/>
  <c r="F8" i="1"/>
  <c r="J10" i="1" s="1"/>
  <c r="F7" i="5"/>
  <c r="D8" i="1"/>
  <c r="E12" i="1"/>
  <c r="C7" i="1"/>
  <c r="D34" i="5"/>
  <c r="E32" i="5"/>
  <c r="F21" i="1"/>
  <c r="E21" i="1"/>
  <c r="D21" i="1"/>
  <c r="G18" i="1"/>
  <c r="D18" i="1"/>
  <c r="C21" i="5"/>
  <c r="F19" i="5"/>
  <c r="E19" i="5"/>
  <c r="F13" i="1"/>
  <c r="B18" i="6"/>
  <c r="B16" i="6"/>
  <c r="G12" i="1"/>
  <c r="H12" i="1"/>
  <c r="D12" i="1"/>
  <c r="E7" i="5"/>
  <c r="G21" i="1"/>
  <c r="F17" i="1"/>
  <c r="D17" i="1"/>
  <c r="H21" i="1"/>
  <c r="C15" i="1"/>
  <c r="C34" i="5"/>
  <c r="B11" i="6"/>
  <c r="H10" i="1"/>
  <c r="F34" i="5"/>
  <c r="D10" i="1"/>
  <c r="G10" i="1"/>
  <c r="F10" i="1"/>
  <c r="J14" i="1" s="1"/>
  <c r="E10" i="1"/>
  <c r="F16" i="1"/>
  <c r="H16" i="1"/>
  <c r="C16" i="1"/>
  <c r="D16" i="1"/>
  <c r="C18" i="1"/>
  <c r="H18" i="1"/>
  <c r="H14" i="1"/>
  <c r="E18" i="1"/>
  <c r="D32" i="5"/>
  <c r="D13" i="6"/>
  <c r="C20" i="1"/>
  <c r="E16" i="1"/>
  <c r="F20" i="1"/>
  <c r="G20" i="1"/>
  <c r="H7" i="1"/>
  <c r="D7" i="1"/>
  <c r="F7" i="1"/>
  <c r="J8" i="1" s="1"/>
  <c r="O12" i="1" s="1"/>
  <c r="G9" i="1"/>
  <c r="C8" i="1"/>
  <c r="N7" i="2" a="1"/>
  <c r="N7" i="2" s="1"/>
  <c r="Q6" i="2" s="1"/>
  <c r="Z6" i="2" s="1"/>
  <c r="M7" i="2" a="1"/>
  <c r="M7" i="2" s="1"/>
  <c r="P7" i="2" s="1"/>
  <c r="Y7" i="2" s="1"/>
  <c r="F11" i="1"/>
  <c r="J16" i="1" s="1"/>
  <c r="G11" i="1"/>
  <c r="E11" i="1"/>
  <c r="B6" i="6"/>
  <c r="B8" i="6"/>
  <c r="H11" i="1"/>
  <c r="G6" i="1"/>
  <c r="F6" i="1"/>
  <c r="J4" i="1" s="1"/>
  <c r="E6" i="1"/>
  <c r="D6" i="1"/>
  <c r="H6" i="1"/>
  <c r="F14" i="1"/>
  <c r="E14" i="1"/>
  <c r="C14" i="1"/>
  <c r="F19" i="1"/>
  <c r="H19" i="1"/>
  <c r="D19" i="1"/>
  <c r="H13" i="1"/>
  <c r="D13" i="1"/>
  <c r="E13" i="1"/>
  <c r="C13" i="1"/>
  <c r="D14" i="1"/>
  <c r="D15" i="1"/>
  <c r="E15" i="1"/>
  <c r="G15" i="1"/>
  <c r="G17" i="1"/>
  <c r="C17" i="1"/>
  <c r="H17" i="1"/>
  <c r="B13" i="6"/>
  <c r="F21" i="5"/>
  <c r="E21" i="5"/>
  <c r="C11" i="1"/>
  <c r="E19" i="1"/>
  <c r="D8" i="6"/>
  <c r="H6" i="6"/>
  <c r="C6" i="1"/>
  <c r="B21" i="6"/>
  <c r="B23" i="6"/>
  <c r="G7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8" i="1"/>
  <c r="T6" i="2"/>
  <c r="U8" i="2"/>
  <c r="AD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S7" i="2" l="1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Z11" i="2" l="1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Z18" i="2" s="1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AB18" i="2" l="1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<sst xmlns="http://schemas.openxmlformats.org/spreadsheetml/2006/main" count="370" uniqueCount="165">
  <si>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</si>
  <si>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</si>
  <si>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</si>
  <si>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</si>
  <si>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</si>
  <si>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</si>
  <si>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</si>
  <si>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</si>
  <si>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</si>
  <si>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</si>
  <si>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</si>
  <si>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</si>
  <si>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</si>
  <si>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</si>
  <si>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</si>
  <si>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</si>
  <si>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</si>
  <si>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</si>
  <si>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</si>
  <si>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</si>
  <si>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</si>
  <si>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</si>
  <si>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</si>
  <si>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</si>
  <si>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</si>
  <si>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</si>
  <si>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</si>
  <si>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</si>
  <si>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</si>
  <si>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</si>
  <si>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</si>
  <si>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</si>
  <si>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</si>
  <si>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</si>
  <si>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</si>
  <si>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</si>
  <si>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</si>
  <si>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</si>
  <si>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</si>
  <si>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</si>
  <si>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</si>
  <si>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</si>
  <si>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</si>
  <si>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</si>
  <si>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</si>
  <si>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</si>
  <si>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</si>
  <si>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</si>
  <si>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</si>
  <si>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</si>
  <si>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</si>
  <si>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</si>
  <si>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</si>
  <si>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</si>
  <si>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</si>
  <si>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</si>
  <si>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</si>
  <si>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</si>
  <si>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</si>
  <si>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</si>
  <si>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</si>
  <si>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</si>
  <si>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</si>
  <si>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</si>
  <si>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</si>
  <si>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</si>
  <si>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</si>
  <si>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</si>
  <si>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</si>
  <si>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</si>
  <si>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</si>
  <si>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</si>
  <si>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</si>
  <si>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</si>
  <si>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</si>
  <si>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</si>
  <si>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</si>
  <si>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</si>
  <si>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</si>
  <si>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</si>
  <si>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</si>
  <si>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</si>
  <si>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</si>
  <si>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</si>
  <si>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</si>
  <si>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</si>
  <si>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</si>
  <si>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</si>
  <si>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</si>
  <si>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</si>
  <si>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</si>
  <si>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</si>
  <si>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</si>
  <si>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</si>
  <si>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</si>
  <si>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МИШУНИН Аким Станиславович</t>
  </si>
  <si>
    <t>14.01.2003, КМС</t>
  </si>
  <si>
    <t>МОС</t>
  </si>
  <si>
    <t>Москва, Москва, ВС</t>
  </si>
  <si>
    <t>Коробейников МЮ, Дроков АН</t>
  </si>
  <si>
    <t>КНЯЗЬКОВ Кирилл Сергеевич</t>
  </si>
  <si>
    <t>20.07.2003, КМС</t>
  </si>
  <si>
    <t>Москва, Москва, Д</t>
  </si>
  <si>
    <t>ВЕСЕЛОВ  Андрей  Андреевич</t>
  </si>
  <si>
    <t>19.04.2001, МС</t>
  </si>
  <si>
    <t>ПФО</t>
  </si>
  <si>
    <t>Нижегородская, Кстово, ЦСКА</t>
  </si>
  <si>
    <t>Душкин.А.Н</t>
  </si>
  <si>
    <t>ЗИГАНШИН Эмиль Фаридович</t>
  </si>
  <si>
    <t>18.03.2000, КМС</t>
  </si>
  <si>
    <t>Р.Татарстан, Казань</t>
  </si>
  <si>
    <t>Зарипов Айнур Азатович</t>
  </si>
  <si>
    <t>ТОРГАШОВ  Даниил Анатольевич</t>
  </si>
  <si>
    <t>08.04.2001, КМС</t>
  </si>
  <si>
    <t>Зарипов А.А., Егрушов В.И.</t>
  </si>
  <si>
    <t>ХОЛОДЕЛЬЩИКОВ Михаил Валерьевич</t>
  </si>
  <si>
    <t>29.07.2002, КМС</t>
  </si>
  <si>
    <t>Саратовская, Саратов</t>
  </si>
  <si>
    <t>Коченюк А.А.</t>
  </si>
  <si>
    <t xml:space="preserve">АБДУЛАЕВ  Шамил  Камилович </t>
  </si>
  <si>
    <t>14.09.2001, КМС</t>
  </si>
  <si>
    <t>СКФО</t>
  </si>
  <si>
    <t>Р.Дагестан, Махачкала, МС</t>
  </si>
  <si>
    <t>Магомедов Махач Ахмедович</t>
  </si>
  <si>
    <t>ПОДГОРНЫЙ АРТЕМ АНДРЕЕВИЧ</t>
  </si>
  <si>
    <t>27.01.2000, КМС</t>
  </si>
  <si>
    <t>СПБ</t>
  </si>
  <si>
    <t>Санкт-Петербург, МО</t>
  </si>
  <si>
    <t>Микайлов М.М.</t>
  </si>
  <si>
    <t xml:space="preserve">КУЗНЕЦОВ Сергей Владимирович </t>
  </si>
  <si>
    <t>14.04.1999, МС</t>
  </si>
  <si>
    <t>УФО</t>
  </si>
  <si>
    <t>Свердловская ,Верхняя Пышма, Д</t>
  </si>
  <si>
    <t>Хлыбов И.Е., Пленкин А.В.</t>
  </si>
  <si>
    <t>ЕВСЕЕВ Дмитрий Александрович</t>
  </si>
  <si>
    <t>25.09.2003, КМС</t>
  </si>
  <si>
    <t>Свердловская, Екатеринбург, МО</t>
  </si>
  <si>
    <t>Бородин О. Б</t>
  </si>
  <si>
    <t>АЮБОВ Андрей  Ферузович</t>
  </si>
  <si>
    <t>05.005.2003, МС</t>
  </si>
  <si>
    <t>ХМАО-Югра, Нижневартовск, МО</t>
  </si>
  <si>
    <t>Калачей А.Ю.</t>
  </si>
  <si>
    <t>НЕКАЗАКОВ  Сергей Сергеевич</t>
  </si>
  <si>
    <t>20.10.2000, КМС</t>
  </si>
  <si>
    <t>ЦФО</t>
  </si>
  <si>
    <t>Воронежская, Воронеж, Д</t>
  </si>
  <si>
    <t>Карпов А.А</t>
  </si>
  <si>
    <t>РОГАЧЕВ Юрий Игоревич</t>
  </si>
  <si>
    <t>15.06.2003, КМС</t>
  </si>
  <si>
    <t>Московская, Дзержинсий, МО</t>
  </si>
  <si>
    <t>Курдадзе ЛМ, Лецко АВ</t>
  </si>
  <si>
    <t xml:space="preserve">ОСИПОВ  Егор Дмитриевич </t>
  </si>
  <si>
    <t>05.07.2001, КМС</t>
  </si>
  <si>
    <t>Рязанская, Рязань</t>
  </si>
  <si>
    <t>Изместьев В.П. Савельев Е.А.</t>
  </si>
  <si>
    <t xml:space="preserve">ФАРГАТОВ Курбан Расимович </t>
  </si>
  <si>
    <t>17.01.2000, КМС</t>
  </si>
  <si>
    <t>ЮФО</t>
  </si>
  <si>
    <t>Краснодарский, Курганинск, МС</t>
  </si>
  <si>
    <t>Дуйсенов К.Г. Нефедов Д.Н.</t>
  </si>
  <si>
    <t xml:space="preserve">МАНУКЯН Леван Гарикович </t>
  </si>
  <si>
    <t>22.00.2002, МС</t>
  </si>
  <si>
    <t>Краснодарский, Сочи, МО</t>
  </si>
  <si>
    <t>Антонян Р.А.,</t>
  </si>
  <si>
    <t>В.к. 98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</si>
</sst>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8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  <font>
      <sz val="16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59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40" xfId="0" applyNumberFormat="1" applyFont="1" applyBorder="1" applyAlignment="1">
      <alignment vertical="center" wrapText="1"/>
    </xf>
    <xf numFmtId="0" fontId="8" fillId="0" borderId="41" xfId="0" applyNumberFormat="1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NumberFormat="1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NumberFormat="1" applyFont="1" applyBorder="1" applyAlignment="1">
      <alignment vertical="center" wrapText="1"/>
    </xf>
    <xf numFmtId="0" fontId="8" fillId="0" borderId="36" xfId="0" applyNumberFormat="1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45" fillId="2" borderId="57" xfId="1" applyFont="1" applyFill="1" applyBorder="1" applyAlignment="1" applyProtection="1">
      <alignment horizontal="center" vertical="center" wrapText="1"/>
      <protection locked="0"/>
    </xf>
    <xf numFmtId="0" fontId="45" fillId="2" borderId="58" xfId="1" applyFont="1" applyFill="1" applyBorder="1" applyAlignment="1" applyProtection="1">
      <alignment horizontal="center" vertical="center" wrapText="1"/>
      <protection locked="0"/>
    </xf>
    <xf numFmtId="0" fontId="4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56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38100</xdr:rowOff>
        </xdr:from>
        <xdr:to>
          <xdr:col>6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3</xdr:row>
          <xdr:rowOff>38100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53"/>
  <sheetViews>
    <sheetView topLeftCell="A7" workbookViewId="0">
      <selection activeCell="Y2" sqref="Y2:AI19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9.25" customHeight="1">
      <c r="A1" s="290" t="s">
        <v>72</v>
      </c>
      <c r="B1" s="290"/>
      <c r="C1" s="290"/>
      <c r="D1" s="290"/>
      <c r="E1" s="290"/>
      <c r="F1" s="290"/>
      <c r="G1" s="290"/>
      <c r="H1" s="290"/>
    </row>
    <row r="2" spans="1:35" ht="54" customHeight="1">
      <c r="A2" s="226"/>
      <c r="B2" s="291" t="str">
        <f>[1]реквизиты!$A$2</f>
        <v>Первенство России по самбо среди юниоров и юниорок до 24 лет  ЕКП № 1802, отбор на Кубок Европы 2022г.</v>
      </c>
      <c r="C2" s="291"/>
      <c r="D2" s="291"/>
      <c r="E2" s="291"/>
      <c r="F2" s="291"/>
      <c r="G2" s="291"/>
      <c r="H2" s="227"/>
      <c r="I2" s="214"/>
      <c r="J2" s="214"/>
      <c r="K2" s="214"/>
      <c r="Y2" s="283">
        <v>98</v>
      </c>
    </row>
    <row r="3" spans="1:35" ht="12.75" customHeight="1">
      <c r="A3" s="292" t="str">
        <f>[1]реквизиты!$A$3</f>
        <v>17-21 января 2022года                          г.Кстово</v>
      </c>
      <c r="B3" s="292"/>
      <c r="C3" s="292"/>
      <c r="D3" s="292"/>
      <c r="E3" s="292"/>
      <c r="F3" s="292"/>
      <c r="G3" s="292"/>
      <c r="H3" s="292"/>
    </row>
    <row r="4" spans="1:35" ht="12.75" customHeight="1">
      <c r="D4" s="2" t="s">
        <v>164</v>
      </c>
      <c r="E4" s="2"/>
      <c r="Y4" s="294" t="s">
        <v>69</v>
      </c>
      <c r="Z4" s="294"/>
      <c r="AA4" s="294"/>
      <c r="AB4" s="294"/>
      <c r="AC4" s="294"/>
      <c r="AD4" s="294"/>
      <c r="AE4" s="294"/>
    </row>
    <row r="5" spans="1:35" ht="12.75" customHeight="1" thickBot="1">
      <c r="A5" s="284" t="s">
        <v>73</v>
      </c>
      <c r="B5" s="293" t="s">
        <v>4</v>
      </c>
      <c r="C5" s="284" t="s">
        <v>5</v>
      </c>
      <c r="D5" s="284" t="s">
        <v>6</v>
      </c>
      <c r="E5" s="286" t="s">
        <v>7</v>
      </c>
      <c r="F5" s="287"/>
      <c r="G5" s="284" t="s">
        <v>9</v>
      </c>
      <c r="H5" s="284" t="s">
        <v>8</v>
      </c>
      <c r="Q5" s="295"/>
      <c r="R5" s="295"/>
      <c r="S5" s="295"/>
      <c r="T5" s="182"/>
      <c r="U5" s="182"/>
      <c r="V5" s="182"/>
      <c r="W5" s="182"/>
      <c r="X5" s="182"/>
      <c r="Y5" s="215"/>
      <c r="Z5" s="110"/>
      <c r="AA5" s="110"/>
      <c r="AB5" s="110"/>
      <c r="AC5" s="110"/>
      <c r="AD5" s="110"/>
      <c r="AE5" s="110"/>
    </row>
    <row r="6" spans="1:35" ht="13.5" thickBot="1">
      <c r="A6" s="285"/>
      <c r="B6" s="285"/>
      <c r="C6" s="285"/>
      <c r="D6" s="285"/>
      <c r="E6" s="288"/>
      <c r="F6" s="289"/>
      <c r="G6" s="285"/>
      <c r="H6" s="285"/>
      <c r="J6" s="183"/>
      <c r="K6" s="183"/>
      <c r="L6" s="183"/>
      <c r="M6" s="183"/>
      <c r="N6" s="183"/>
      <c r="O6" s="183"/>
      <c r="P6" s="228"/>
      <c r="Q6" s="228" t="str">
        <f>N7</f>
        <v>КМС</v>
      </c>
      <c r="R6" s="228" t="str">
        <f>N8</f>
        <v>МС</v>
      </c>
      <c r="S6" s="185" t="str">
        <f>N9</f>
        <v/>
      </c>
      <c r="T6" s="185" t="str">
        <f>N10</f>
        <v/>
      </c>
      <c r="U6" s="185" t="str">
        <f>N11</f>
        <v/>
      </c>
      <c r="V6" s="185" t="str">
        <f>N12</f>
        <v/>
      </c>
      <c r="W6" s="185" t="str">
        <f>N13</f>
        <v/>
      </c>
      <c r="X6" s="117"/>
      <c r="Y6" s="216" t="s">
        <v>70</v>
      </c>
      <c r="Z6" s="217" t="str">
        <f t="shared" ref="Z6:AF6" si="0">Q6</f>
        <v>КМС</v>
      </c>
      <c r="AA6" s="217" t="str">
        <f t="shared" si="0"/>
        <v>МС</v>
      </c>
      <c r="AB6" s="218" t="str">
        <f t="shared" si="0"/>
        <v/>
      </c>
      <c r="AC6" s="218" t="str">
        <f t="shared" si="0"/>
        <v/>
      </c>
      <c r="AD6" s="217" t="str">
        <f t="shared" si="0"/>
        <v/>
      </c>
      <c r="AE6" s="219" t="str">
        <f t="shared" si="0"/>
        <v/>
      </c>
      <c r="AF6" s="220" t="str">
        <f t="shared" si="0"/>
        <v/>
      </c>
    </row>
    <row r="7" spans="1:35" ht="21.95" customHeight="1">
      <c r="A7" s="229" t="s">
        <v>74</v>
      </c>
      <c r="B7" s="230">
        <v>1</v>
      </c>
      <c r="C7" s="231" t="s">
        <v>142</v>
      </c>
      <c r="D7" s="232" t="s">
        <v>143</v>
      </c>
      <c r="E7" s="233" t="s">
        <v>144</v>
      </c>
      <c r="F7" s="232" t="s">
        <v>145</v>
      </c>
      <c r="G7" s="234"/>
      <c r="H7" s="235" t="s">
        <v>146</v>
      </c>
      <c r="I7" s="236"/>
      <c r="J7" s="237">
        <v>1</v>
      </c>
      <c r="K7" s="225" t="str">
        <f>IFERROR(RIGHT(D7,LEN(D7)-FIND("*",SUBSTITUTE(D7," ","*",LEN(D7)-LEN(SUBSTITUTE(D7," ",""))))),D7)</f>
        <v>КМС</v>
      </c>
      <c r="L7" s="225" t="str">
        <f>IFERROR(LEFT(F7,FIND(",",F7)-1),F7)</f>
        <v>Воронежская</v>
      </c>
      <c r="M7" s="238" t="str">
        <f t="array" ref="M7">IFERROR(INDEX(субъект,MATCH(SUM(COUNTIF(M$6:M6,субъект)),COUNTIF(субъект,"&lt;"&amp;субъект),0)),"")</f>
        <v>Воронежская</v>
      </c>
      <c r="N7" s="238" t="str">
        <f t="array" ref="N7">IFERROR(INDEX(разряд,MATCH(SUM(COUNTIF(N$6:N6,разряд)),COUNTIF(разряд,"&lt;"&amp;разряд),0)),"")</f>
        <v>КМС</v>
      </c>
      <c r="O7" s="239">
        <v>1</v>
      </c>
      <c r="P7" s="184" t="str">
        <f t="shared" ref="P7:P22" si="1">M7</f>
        <v>Воронежская</v>
      </c>
      <c r="Q7" s="187">
        <f t="shared" ref="Q7:Q22" si="2">SUMIFS($J$7:$J$38,$L$7:$L$38,P7,$K$7:$K$38,Q$6)</f>
        <v>1</v>
      </c>
      <c r="R7" s="187">
        <f t="shared" ref="R7:R22" si="3">SUMIFS($J$7:$J$38,$L$7:$L$38,P7,$K$7:$K$38,R$6)</f>
        <v>0</v>
      </c>
      <c r="S7" s="240">
        <f t="shared" ref="S7:S22" si="4">SUMIFS($J$7:$J$38,$L$7:$L$38,P7,$K$7:$K$38,S$6)</f>
        <v>0</v>
      </c>
      <c r="T7" s="191">
        <f t="shared" ref="T7:T22" si="5">SUMIFS($J$7:$J$38,$L$7:$L$38,P7,$K$7:$K$38,T$6)</f>
        <v>0</v>
      </c>
      <c r="U7" s="191">
        <f t="shared" ref="U7:U22" si="6">SUMIFS($J$7:$J$38,$L$7:$L$38,P7,$K$7:$K$38,U$6)</f>
        <v>0</v>
      </c>
      <c r="V7" s="191">
        <f t="shared" ref="V7:V22" si="7">SUMIFS($J$7:$J$38,$L$7:$L$38,P7,$K$7:$K$38,V$6)</f>
        <v>0</v>
      </c>
      <c r="W7" s="191">
        <f t="shared" ref="W7:W22" si="8">SUMIFS($J$7:$J$38,$L$7:$L$38,P7,$K$7:$K$38,W$6)</f>
        <v>0</v>
      </c>
      <c r="X7" s="188"/>
      <c r="Y7" s="189" t="str">
        <f>P7</f>
        <v>Воронежская</v>
      </c>
      <c r="Z7" s="222">
        <f>IF(Q7=0," ",Q7)</f>
        <v>1</v>
      </c>
      <c r="AA7" s="222" t="str">
        <f>IF(R7=0," ",R7)</f>
        <v xml:space="preserve"> </v>
      </c>
      <c r="AB7" s="222" t="str">
        <f>IF(S7=0," ",S7)</f>
        <v xml:space="preserve"> </v>
      </c>
      <c r="AC7" s="222" t="str">
        <f>IF(T7=0," ",T7)</f>
        <v xml:space="preserve"> </v>
      </c>
      <c r="AD7" s="222" t="str">
        <f t="shared" ref="AD7:AF22" si="9">IF(U7=0," ",U7)</f>
        <v xml:space="preserve"> </v>
      </c>
      <c r="AE7" s="186" t="str">
        <f t="shared" si="9"/>
        <v xml:space="preserve"> </v>
      </c>
      <c r="AF7" s="186" t="str">
        <f t="shared" si="9"/>
        <v xml:space="preserve"> </v>
      </c>
      <c r="AH7" s="296">
        <f>SUM(Z7:AF22)</f>
        <v>16</v>
      </c>
      <c r="AI7" s="297"/>
    </row>
    <row r="8" spans="1:35" ht="21.95" customHeight="1" thickBot="1">
      <c r="A8" s="229" t="s">
        <v>75</v>
      </c>
      <c r="B8" s="230">
        <v>2</v>
      </c>
      <c r="C8" s="231" t="s">
        <v>151</v>
      </c>
      <c r="D8" s="232" t="s">
        <v>152</v>
      </c>
      <c r="E8" s="233" t="s">
        <v>144</v>
      </c>
      <c r="F8" s="232" t="s">
        <v>153</v>
      </c>
      <c r="G8" s="234"/>
      <c r="H8" s="235" t="s">
        <v>154</v>
      </c>
      <c r="I8" s="236"/>
      <c r="J8" s="237">
        <v>1</v>
      </c>
      <c r="K8" s="225" t="str">
        <f t="shared" ref="K8:K22" si="10">IFERROR(RIGHT(D8,LEN(D8)-FIND("*",SUBSTITUTE(D8," ","*",LEN(D8)-LEN(SUBSTITUTE(D8," ",""))))),D8)</f>
        <v>КМС</v>
      </c>
      <c r="L8" s="225" t="str">
        <f t="shared" ref="L8:L22" si="11">IFERROR(LEFT(F8,FIND(",",F8)-1),F8)</f>
        <v>Рязанская</v>
      </c>
      <c r="M8" s="238" t="str">
        <f t="array" ref="M8">IFERROR(INDEX(субъект,MATCH(SUM(COUNTIF(M$6:M7,субъект)),COUNTIF(субъект,"&lt;"&amp;субъект),0)),"")</f>
        <v>Краснодарский</v>
      </c>
      <c r="N8" s="238" t="str">
        <f t="array" ref="N8">IFERROR(INDEX(разряд,MATCH(SUM(COUNTIF(N$6:N7,разряд)),COUNTIF(разряд,"&lt;"&amp;разряд),0)),"")</f>
        <v>МС</v>
      </c>
      <c r="O8" s="239">
        <v>2</v>
      </c>
      <c r="P8" s="184" t="str">
        <f t="shared" si="1"/>
        <v>Краснодарский</v>
      </c>
      <c r="Q8" s="187">
        <f t="shared" si="2"/>
        <v>1</v>
      </c>
      <c r="R8" s="187">
        <f t="shared" si="3"/>
        <v>1</v>
      </c>
      <c r="S8" s="240">
        <f t="shared" si="4"/>
        <v>0</v>
      </c>
      <c r="T8" s="191">
        <f t="shared" si="5"/>
        <v>0</v>
      </c>
      <c r="U8" s="191">
        <f t="shared" si="6"/>
        <v>0</v>
      </c>
      <c r="V8" s="191">
        <f t="shared" si="7"/>
        <v>0</v>
      </c>
      <c r="W8" s="191">
        <f t="shared" si="8"/>
        <v>0</v>
      </c>
      <c r="X8" s="190"/>
      <c r="Y8" s="186" t="str">
        <f t="shared" ref="Y8:Y22" si="12">P8</f>
        <v>Краснодарский</v>
      </c>
      <c r="Z8" s="186">
        <f>IF($Y$8=$Y$7," ",IF(Q8=0," ",Q8))</f>
        <v>1</v>
      </c>
      <c r="AA8" s="186">
        <f>IF($Y$8=$Y$7," ",IF(R8=0," ",R8))</f>
        <v>1</v>
      </c>
      <c r="AB8" s="186" t="str">
        <f>IF($Y$8=$Y$7," ",IF(S8=0," ",S8))</f>
        <v xml:space="preserve"> </v>
      </c>
      <c r="AC8" s="186" t="str">
        <f>IF($Y$8=$Y$7," ",IF(T8=0," ",T8))</f>
        <v xml:space="preserve"> </v>
      </c>
      <c r="AD8" s="186" t="str">
        <f t="shared" si="9"/>
        <v xml:space="preserve"> </v>
      </c>
      <c r="AE8" s="186" t="str">
        <f t="shared" si="9"/>
        <v xml:space="preserve"> </v>
      </c>
      <c r="AF8" s="186" t="str">
        <f t="shared" si="9"/>
        <v xml:space="preserve"> </v>
      </c>
      <c r="AH8" s="298"/>
      <c r="AI8" s="299"/>
    </row>
    <row r="9" spans="1:35" ht="21.95" customHeight="1">
      <c r="A9" s="229" t="s">
        <v>76</v>
      </c>
      <c r="B9" s="230">
        <v>3</v>
      </c>
      <c r="C9" s="231" t="s">
        <v>129</v>
      </c>
      <c r="D9" s="232" t="s">
        <v>130</v>
      </c>
      <c r="E9" s="233" t="s">
        <v>131</v>
      </c>
      <c r="F9" s="232" t="s">
        <v>132</v>
      </c>
      <c r="G9" s="234"/>
      <c r="H9" s="235" t="s">
        <v>133</v>
      </c>
      <c r="I9" s="236"/>
      <c r="J9" s="237">
        <v>1</v>
      </c>
      <c r="K9" s="225" t="str">
        <f t="shared" si="10"/>
        <v>МС</v>
      </c>
      <c r="L9" s="225" t="str">
        <f t="shared" si="11"/>
        <v xml:space="preserve">Свердловская </v>
      </c>
      <c r="M9" s="238" t="str">
        <f t="array" ref="M9">IFERROR(INDEX(субъект,MATCH(SUM(COUNTIF(M$6:M8,субъект)),COUNTIF(субъект,"&lt;"&amp;субъект),0)),"")</f>
        <v>Москва</v>
      </c>
      <c r="N9" s="238" t="str">
        <f t="array" ref="N9">IFERROR(INDEX(разряд,MATCH(SUM(COUNTIF(N$6:N8,разряд)),COUNTIF(разряд,"&lt;"&amp;разряд),0)),"")</f>
        <v/>
      </c>
      <c r="O9" s="239">
        <v>3</v>
      </c>
      <c r="P9" s="184" t="str">
        <f t="shared" si="1"/>
        <v>Москва</v>
      </c>
      <c r="Q9" s="187">
        <f t="shared" si="2"/>
        <v>2</v>
      </c>
      <c r="R9" s="187">
        <f t="shared" si="3"/>
        <v>0</v>
      </c>
      <c r="S9" s="240">
        <f t="shared" si="4"/>
        <v>0</v>
      </c>
      <c r="T9" s="191">
        <f t="shared" si="5"/>
        <v>0</v>
      </c>
      <c r="U9" s="191">
        <f t="shared" si="6"/>
        <v>0</v>
      </c>
      <c r="V9" s="191">
        <f t="shared" si="7"/>
        <v>0</v>
      </c>
      <c r="W9" s="191">
        <f t="shared" si="8"/>
        <v>0</v>
      </c>
      <c r="X9" s="190"/>
      <c r="Y9" s="186" t="str">
        <f t="shared" si="12"/>
        <v>Москва</v>
      </c>
      <c r="Z9" s="186">
        <f>IF(OR($Y9=$Y7,$Y9=$Y8)," ",IF(Q9=0," ",Q9))</f>
        <v>2</v>
      </c>
      <c r="AA9" s="186" t="str">
        <f>IF(OR($Y9=$Y7,$Y9=$Y8)," ",IF(R9=0," ",R9))</f>
        <v xml:space="preserve"> </v>
      </c>
      <c r="AB9" s="186" t="str">
        <f>IF(OR($Y9=$Y7,$Y9=$Y8)," ",IF(S9=0," ",S9))</f>
        <v xml:space="preserve"> </v>
      </c>
      <c r="AC9" s="186" t="str">
        <f>IF(OR($Y9=$Y7,$Y9=$Y8)," ",IF(T9=0," ",T9))</f>
        <v xml:space="preserve"> </v>
      </c>
      <c r="AD9" s="186" t="str">
        <f t="shared" si="9"/>
        <v xml:space="preserve"> </v>
      </c>
      <c r="AE9" s="186" t="str">
        <f t="shared" si="9"/>
        <v xml:space="preserve"> </v>
      </c>
      <c r="AF9" s="186" t="str">
        <f t="shared" si="9"/>
        <v xml:space="preserve"> </v>
      </c>
    </row>
    <row r="10" spans="1:35" ht="21.95" customHeight="1">
      <c r="A10" s="229" t="s">
        <v>77</v>
      </c>
      <c r="B10" s="230">
        <v>4</v>
      </c>
      <c r="C10" s="231" t="s">
        <v>155</v>
      </c>
      <c r="D10" s="232" t="s">
        <v>156</v>
      </c>
      <c r="E10" s="233" t="s">
        <v>157</v>
      </c>
      <c r="F10" s="232" t="s">
        <v>158</v>
      </c>
      <c r="G10" s="234"/>
      <c r="H10" s="235" t="s">
        <v>159</v>
      </c>
      <c r="I10" s="236"/>
      <c r="J10" s="237">
        <v>1</v>
      </c>
      <c r="K10" s="225" t="str">
        <f t="shared" si="10"/>
        <v>КМС</v>
      </c>
      <c r="L10" s="225" t="str">
        <f t="shared" si="11"/>
        <v>Краснодарский</v>
      </c>
      <c r="M10" s="238" t="str">
        <f t="array" ref="M10">IFERROR(INDEX(субъект,MATCH(SUM(COUNTIF(M$6:M9,субъект)),COUNTIF(субъект,"&lt;"&amp;субъект),0)),"")</f>
        <v>Московская</v>
      </c>
      <c r="N10" s="238" t="str">
        <f t="array" ref="N10">IFERROR(INDEX(разряд,MATCH(SUM(COUNTIF(N$6:N9,разряд)),COUNTIF(разряд,"&lt;"&amp;разряд),0)),"")</f>
        <v/>
      </c>
      <c r="O10" s="239">
        <v>4</v>
      </c>
      <c r="P10" s="184" t="str">
        <f t="shared" si="1"/>
        <v>Московская</v>
      </c>
      <c r="Q10" s="187">
        <f t="shared" si="2"/>
        <v>1</v>
      </c>
      <c r="R10" s="187">
        <f t="shared" si="3"/>
        <v>0</v>
      </c>
      <c r="S10" s="240">
        <f t="shared" si="4"/>
        <v>0</v>
      </c>
      <c r="T10" s="191">
        <f t="shared" si="5"/>
        <v>0</v>
      </c>
      <c r="U10" s="191">
        <f t="shared" si="6"/>
        <v>0</v>
      </c>
      <c r="V10" s="191">
        <f t="shared" si="7"/>
        <v>0</v>
      </c>
      <c r="W10" s="191">
        <f t="shared" si="8"/>
        <v>0</v>
      </c>
      <c r="X10" s="117"/>
      <c r="Y10" s="186" t="str">
        <f t="shared" si="12"/>
        <v>Московская</v>
      </c>
      <c r="Z10" s="186">
        <f>IF(OR($Y10=$Y8,$Y10=$Y9,$Y10=$Y7)," ",IF(Q10=0," ",Q10))</f>
        <v>1</v>
      </c>
      <c r="AA10" s="186" t="str">
        <f>IF(OR($Y10=$Y8,$Y10=$Y9,$Y10=$Y7)," ",IF(R10=0," ",R10))</f>
        <v xml:space="preserve"> </v>
      </c>
      <c r="AB10" s="186" t="str">
        <f>IF(OR($Y10=$Y8,$Y10=$Y9,$Y10=$Y7)," ",IF(S10=0," ",S10))</f>
        <v xml:space="preserve"> </v>
      </c>
      <c r="AC10" s="186" t="str">
        <f>IF(OR($Y10=$Y8,$Y10=$Y9,$Y10=$Y7)," ",IF(T10=0," ",T10))</f>
        <v xml:space="preserve"> </v>
      </c>
      <c r="AD10" s="186" t="str">
        <f t="shared" si="9"/>
        <v xml:space="preserve"> </v>
      </c>
      <c r="AE10" s="186" t="str">
        <f t="shared" si="9"/>
        <v xml:space="preserve"> </v>
      </c>
      <c r="AF10" s="186" t="str">
        <f t="shared" si="9"/>
        <v xml:space="preserve"> </v>
      </c>
    </row>
    <row r="11" spans="1:35" ht="21.95" customHeight="1">
      <c r="A11" s="229" t="s">
        <v>78</v>
      </c>
      <c r="B11" s="230">
        <v>5</v>
      </c>
      <c r="C11" s="231" t="s">
        <v>103</v>
      </c>
      <c r="D11" s="232" t="s">
        <v>104</v>
      </c>
      <c r="E11" s="233" t="s">
        <v>105</v>
      </c>
      <c r="F11" s="232" t="s">
        <v>106</v>
      </c>
      <c r="G11" s="234"/>
      <c r="H11" s="235" t="s">
        <v>107</v>
      </c>
      <c r="I11" s="236"/>
      <c r="J11" s="237">
        <v>1</v>
      </c>
      <c r="K11" s="225" t="str">
        <f t="shared" si="10"/>
        <v>МС</v>
      </c>
      <c r="L11" s="225" t="str">
        <f t="shared" si="11"/>
        <v>Нижегородская</v>
      </c>
      <c r="M11" s="238" t="str">
        <f t="array" ref="M11">IFERROR(INDEX(субъект,MATCH(SUM(COUNTIF(M$6:M10,субъект)),COUNTIF(субъект,"&lt;"&amp;субъект),0)),"")</f>
        <v>Нижегородская</v>
      </c>
      <c r="N11" s="238" t="str">
        <f t="array" ref="N11">IFERROR(INDEX(разряд,MATCH(SUM(COUNTIF(N$6:N10,разряд)),COUNTIF(разряд,"&lt;"&amp;разряд),0)),"")</f>
        <v/>
      </c>
      <c r="O11" s="239">
        <v>5</v>
      </c>
      <c r="P11" s="184" t="str">
        <f t="shared" si="1"/>
        <v>Нижегородская</v>
      </c>
      <c r="Q11" s="187">
        <f t="shared" si="2"/>
        <v>0</v>
      </c>
      <c r="R11" s="187">
        <f t="shared" si="3"/>
        <v>1</v>
      </c>
      <c r="S11" s="240">
        <f t="shared" si="4"/>
        <v>0</v>
      </c>
      <c r="T11" s="191">
        <f t="shared" si="5"/>
        <v>0</v>
      </c>
      <c r="U11" s="191">
        <f t="shared" si="6"/>
        <v>0</v>
      </c>
      <c r="V11" s="191">
        <f t="shared" si="7"/>
        <v>0</v>
      </c>
      <c r="W11" s="191">
        <f t="shared" si="8"/>
        <v>0</v>
      </c>
      <c r="X11" s="190"/>
      <c r="Y11" s="186" t="str">
        <f t="shared" si="12"/>
        <v>Нижегородская</v>
      </c>
      <c r="Z11" s="186" t="str">
        <f>IF(OR($Y11=$Y9,$Y11=$Y10,$Y11=$Y8,$Y11=$Y7)," ",IF(Q11=0," ",Q11))</f>
        <v xml:space="preserve"> </v>
      </c>
      <c r="AA11" s="186">
        <f>IF(OR($Y11=$Y9,$Y11=$Y10,$Y11=$Y8,$Y11=$Y7)," ",IF(R11=0," ",R11))</f>
        <v>1</v>
      </c>
      <c r="AB11" s="186" t="str">
        <f>IF(OR($Y11=$Y9,$Y11=$Y10,$Y11=$Y8,$Y11=$Y7)," ",IF(S11=0," ",S11))</f>
        <v xml:space="preserve"> </v>
      </c>
      <c r="AC11" s="186" t="str">
        <f>IF(OR($Y11=$Y9,$Y11=$Y10,$Y11=$Y8,$Y11=$Y7)," ",IF(T11=0," ",T11))</f>
        <v xml:space="preserve"> </v>
      </c>
      <c r="AD11" s="186" t="str">
        <f t="shared" si="9"/>
        <v xml:space="preserve"> </v>
      </c>
      <c r="AE11" s="186" t="str">
        <f t="shared" si="9"/>
        <v xml:space="preserve"> </v>
      </c>
      <c r="AF11" s="186" t="str">
        <f t="shared" si="9"/>
        <v xml:space="preserve"> </v>
      </c>
    </row>
    <row r="12" spans="1:35" ht="21.95" customHeight="1">
      <c r="A12" s="229" t="s">
        <v>79</v>
      </c>
      <c r="B12" s="230">
        <v>6</v>
      </c>
      <c r="C12" s="231" t="s">
        <v>138</v>
      </c>
      <c r="D12" s="232" t="s">
        <v>139</v>
      </c>
      <c r="E12" s="233" t="s">
        <v>131</v>
      </c>
      <c r="F12" s="232" t="s">
        <v>140</v>
      </c>
      <c r="G12" s="234"/>
      <c r="H12" s="235" t="s">
        <v>141</v>
      </c>
      <c r="I12" s="236"/>
      <c r="J12" s="237">
        <v>1</v>
      </c>
      <c r="K12" s="225" t="str">
        <f t="shared" si="10"/>
        <v>МС</v>
      </c>
      <c r="L12" s="225" t="str">
        <f t="shared" si="11"/>
        <v>ХМАО-Югра</v>
      </c>
      <c r="M12" s="238" t="str">
        <f t="array" ref="M12">IFERROR(INDEX(субъект,MATCH(SUM(COUNTIF(M$6:M11,субъект)),COUNTIF(субъект,"&lt;"&amp;субъект),0)),"")</f>
        <v>Р.Дагестан</v>
      </c>
      <c r="N12" s="238" t="str">
        <f t="array" ref="N12">IFERROR(INDEX(разряд,MATCH(SUM(COUNTIF(N$6:N11,разряд)),COUNTIF(разряд,"&lt;"&amp;разряд),0)),"")</f>
        <v/>
      </c>
      <c r="O12" s="239">
        <v>6</v>
      </c>
      <c r="P12" s="184" t="str">
        <f t="shared" si="1"/>
        <v>Р.Дагестан</v>
      </c>
      <c r="Q12" s="187">
        <f t="shared" si="2"/>
        <v>1</v>
      </c>
      <c r="R12" s="187">
        <f t="shared" si="3"/>
        <v>0</v>
      </c>
      <c r="S12" s="240">
        <f t="shared" si="4"/>
        <v>0</v>
      </c>
      <c r="T12" s="191">
        <f t="shared" si="5"/>
        <v>0</v>
      </c>
      <c r="U12" s="191">
        <f t="shared" si="6"/>
        <v>0</v>
      </c>
      <c r="V12" s="191">
        <f t="shared" si="7"/>
        <v>0</v>
      </c>
      <c r="W12" s="191">
        <f t="shared" si="8"/>
        <v>0</v>
      </c>
      <c r="X12" s="117"/>
      <c r="Y12" s="186" t="str">
        <f t="shared" si="12"/>
        <v>Р.Дагестан</v>
      </c>
      <c r="Z12" s="186">
        <f>IF(OR($Y12=$Y10,$Y12=$Y11,$Y12=$Y9,$Y12=$Y8,$Y12=$Y7)," ",IF(Q12=0," ",Q12))</f>
        <v>1</v>
      </c>
      <c r="AA12" s="186" t="str">
        <f>IF(OR($Y12=$Y10,$Y12=$Y11,$Y12=$Y9,$Y12=$Y8,$Y12=$Y7)," ",IF(R12=0," ",R12))</f>
        <v xml:space="preserve"> </v>
      </c>
      <c r="AB12" s="186" t="str">
        <f>IF(OR($Y12=$Y10,$Y12=$Y11,$Y12=$Y9,$Y12=$Y8,$Y12=$Y7)," ",IF(S12=0," ",S12))</f>
        <v xml:space="preserve"> </v>
      </c>
      <c r="AC12" s="186" t="str">
        <f>IF(OR($Y12=$Y10,$Y12=$Y11,$Y12=$Y9,$Y12=$Y8,$Y12=$Y7)," ",IF(T12=0," ",T12))</f>
        <v xml:space="preserve"> </v>
      </c>
      <c r="AD12" s="186" t="str">
        <f t="shared" si="9"/>
        <v xml:space="preserve"> </v>
      </c>
      <c r="AE12" s="186" t="str">
        <f t="shared" si="9"/>
        <v xml:space="preserve"> </v>
      </c>
      <c r="AF12" s="186" t="str">
        <f t="shared" si="9"/>
        <v xml:space="preserve"> </v>
      </c>
    </row>
    <row r="13" spans="1:35" ht="21.95" customHeight="1">
      <c r="A13" s="229" t="s">
        <v>80</v>
      </c>
      <c r="B13" s="230">
        <v>7</v>
      </c>
      <c r="C13" s="231" t="s">
        <v>95</v>
      </c>
      <c r="D13" s="232" t="s">
        <v>96</v>
      </c>
      <c r="E13" s="233" t="s">
        <v>97</v>
      </c>
      <c r="F13" s="232" t="s">
        <v>98</v>
      </c>
      <c r="G13" s="234"/>
      <c r="H13" s="235" t="s">
        <v>99</v>
      </c>
      <c r="I13" s="236"/>
      <c r="J13" s="237">
        <v>1</v>
      </c>
      <c r="K13" s="225" t="str">
        <f t="shared" si="10"/>
        <v>КМС</v>
      </c>
      <c r="L13" s="225" t="str">
        <f t="shared" si="11"/>
        <v>Москва</v>
      </c>
      <c r="M13" s="238" t="str">
        <f t="array" ref="M13">IFERROR(INDEX(субъект,MATCH(SUM(COUNTIF(M$6:M12,субъект)),COUNTIF(субъект,"&lt;"&amp;субъект),0)),"")</f>
        <v>Р.Татарстан</v>
      </c>
      <c r="N13" s="238" t="str">
        <f t="array" ref="N13">IFERROR(INDEX(разряд,MATCH(SUM(COUNTIF(N$6:N12,разряд)),COUNTIF(разряд,"&lt;"&amp;разряд),0)),"")</f>
        <v/>
      </c>
      <c r="O13" s="239">
        <v>7</v>
      </c>
      <c r="P13" s="184" t="str">
        <f t="shared" si="1"/>
        <v>Р.Татарстан</v>
      </c>
      <c r="Q13" s="187">
        <f t="shared" si="2"/>
        <v>2</v>
      </c>
      <c r="R13" s="187">
        <f t="shared" si="3"/>
        <v>0</v>
      </c>
      <c r="S13" s="240">
        <f t="shared" si="4"/>
        <v>0</v>
      </c>
      <c r="T13" s="191">
        <f t="shared" si="5"/>
        <v>0</v>
      </c>
      <c r="U13" s="191">
        <f t="shared" si="6"/>
        <v>0</v>
      </c>
      <c r="V13" s="191">
        <f t="shared" si="7"/>
        <v>0</v>
      </c>
      <c r="W13" s="191">
        <f t="shared" si="8"/>
        <v>0</v>
      </c>
      <c r="X13" s="190"/>
      <c r="Y13" s="186" t="str">
        <f t="shared" si="12"/>
        <v>Р.Татарстан</v>
      </c>
      <c r="Z13" s="186">
        <f>IF(OR($Y13=$Y11,$Y13=$Y12,$Y13=$Y10,$Y13=$Y9,$Y13=$Y8,$Y13=$Y7)," ",IF(Q13=0," ",Q13))</f>
        <v>2</v>
      </c>
      <c r="AA13" s="186" t="str">
        <f>IF(OR($Y13=$Y11,$Y13=$Y12,$Y13=$Y10,$Y13=$Y9,$Y13=$Y8,$Y13=$Y7)," ",IF(R13=0," ",R13))</f>
        <v xml:space="preserve"> </v>
      </c>
      <c r="AB13" s="186" t="str">
        <f>IF(OR($Y13=$Y11,$Y13=$Y12,$Y13=$Y10,$Y13=$Y9,$Y13=$Y8,$Y13=$Y7)," ",IF(S13=0," ",S13))</f>
        <v xml:space="preserve"> </v>
      </c>
      <c r="AC13" s="186" t="str">
        <f>IF(OR($Y13=$Y11,$Y13=$Y12,$Y13=$Y10,$Y13=$Y9,$Y13=$Y8,$Y13=$Y7)," ",IF(T13=0," ",T13))</f>
        <v xml:space="preserve"> </v>
      </c>
      <c r="AD13" s="186" t="str">
        <f t="shared" si="9"/>
        <v xml:space="preserve"> </v>
      </c>
      <c r="AE13" s="186" t="str">
        <f t="shared" si="9"/>
        <v xml:space="preserve"> </v>
      </c>
      <c r="AF13" s="186" t="str">
        <f t="shared" si="9"/>
        <v xml:space="preserve"> </v>
      </c>
    </row>
    <row r="14" spans="1:35" ht="21.95" customHeight="1">
      <c r="A14" s="229" t="s">
        <v>81</v>
      </c>
      <c r="B14" s="230">
        <v>8</v>
      </c>
      <c r="C14" s="231" t="s">
        <v>108</v>
      </c>
      <c r="D14" s="232" t="s">
        <v>109</v>
      </c>
      <c r="E14" s="233" t="s">
        <v>105</v>
      </c>
      <c r="F14" s="232" t="s">
        <v>110</v>
      </c>
      <c r="G14" s="234"/>
      <c r="H14" s="235" t="s">
        <v>111</v>
      </c>
      <c r="I14" s="236"/>
      <c r="J14" s="237">
        <v>1</v>
      </c>
      <c r="K14" s="225" t="str">
        <f t="shared" si="10"/>
        <v>КМС</v>
      </c>
      <c r="L14" s="225" t="str">
        <f t="shared" si="11"/>
        <v>Р.Татарстан</v>
      </c>
      <c r="M14" s="238" t="str">
        <f t="array" ref="M14">IFERROR(INDEX(субъект,MATCH(SUM(COUNTIF(M$6:M13,субъект)),COUNTIF(субъект,"&lt;"&amp;субъект),0)),"")</f>
        <v>Рязанская</v>
      </c>
      <c r="N14" s="238" t="str">
        <f t="array" ref="N14">IFERROR(INDEX(разряд,MATCH(SUM(COUNTIF(N$6:N13,разряд)),COUNTIF(разряд,"&lt;"&amp;разряд),0)),"")</f>
        <v/>
      </c>
      <c r="O14" s="239">
        <v>8</v>
      </c>
      <c r="P14" s="184" t="str">
        <f t="shared" si="1"/>
        <v>Рязанская</v>
      </c>
      <c r="Q14" s="187">
        <f t="shared" si="2"/>
        <v>1</v>
      </c>
      <c r="R14" s="187">
        <f t="shared" si="3"/>
        <v>0</v>
      </c>
      <c r="S14" s="240">
        <f t="shared" si="4"/>
        <v>0</v>
      </c>
      <c r="T14" s="191">
        <f t="shared" si="5"/>
        <v>0</v>
      </c>
      <c r="U14" s="191">
        <f t="shared" si="6"/>
        <v>0</v>
      </c>
      <c r="V14" s="191">
        <f t="shared" si="7"/>
        <v>0</v>
      </c>
      <c r="W14" s="191">
        <f t="shared" si="8"/>
        <v>0</v>
      </c>
      <c r="X14" s="190"/>
      <c r="Y14" s="186" t="str">
        <f t="shared" si="12"/>
        <v>Рязанская</v>
      </c>
      <c r="Z14" s="186">
        <f>IF(OR($Y14=$Y12,$Y14=$Y13,$Y14=$Y11,$Y14=$Y10,$Y14=$Y9,$Y14=$Y7)," ",IF(Q14=0," ",Q14))</f>
        <v>1</v>
      </c>
      <c r="AA14" s="186" t="str">
        <f>IF(OR($Y14=$Y12,$Y14=$Y13,$Y14=$Y11,$Y14=$Y10,$Y14=$Y9,$Y14=$Y7)," ",IF(R14=0," ",R14))</f>
        <v xml:space="preserve"> </v>
      </c>
      <c r="AB14" s="186" t="str">
        <f>IF(OR($Y14=$Y12,$Y14=$Y13,$Y14=$Y11,$Y14=$Y10,$Y14=$Y9,$Y14=$Y7)," ",IF(S14=0," ",S14))</f>
        <v xml:space="preserve"> </v>
      </c>
      <c r="AC14" s="186" t="str">
        <f>IF(OR($Y14=$Y12,$Y14=$Y13,$Y14=$Y11,$Y14=$Y10,$Y14=$Y9,$Y14=$Y7)," ",IF(T14=0," ",T14))</f>
        <v xml:space="preserve"> </v>
      </c>
      <c r="AD14" s="186" t="str">
        <f t="shared" si="9"/>
        <v xml:space="preserve"> </v>
      </c>
      <c r="AE14" s="186" t="str">
        <f t="shared" si="9"/>
        <v xml:space="preserve"> </v>
      </c>
      <c r="AF14" s="186" t="str">
        <f t="shared" si="9"/>
        <v xml:space="preserve"> </v>
      </c>
    </row>
    <row r="15" spans="1:35" ht="21.95" customHeight="1">
      <c r="A15" s="229" t="s">
        <v>82</v>
      </c>
      <c r="B15" s="230">
        <v>9</v>
      </c>
      <c r="C15" s="231" t="s">
        <v>124</v>
      </c>
      <c r="D15" s="232" t="s">
        <v>125</v>
      </c>
      <c r="E15" s="233" t="s">
        <v>126</v>
      </c>
      <c r="F15" s="232" t="s">
        <v>127</v>
      </c>
      <c r="G15" s="234"/>
      <c r="H15" s="235" t="s">
        <v>128</v>
      </c>
      <c r="I15" s="236"/>
      <c r="J15" s="237">
        <v>1</v>
      </c>
      <c r="K15" s="225" t="str">
        <f t="shared" si="10"/>
        <v>КМС</v>
      </c>
      <c r="L15" s="225" t="str">
        <f t="shared" si="11"/>
        <v>Санкт-Петербург</v>
      </c>
      <c r="M15" s="238" t="str">
        <f t="array" ref="M15">IFERROR(INDEX(субъект,MATCH(SUM(COUNTIF(M$6:M14,субъект)),COUNTIF(субъект,"&lt;"&amp;субъект),0)),"")</f>
        <v>Санкт-Петербург</v>
      </c>
      <c r="N15" s="238" t="str">
        <f t="array" ref="N15">IFERROR(INDEX(разряд,MATCH(SUM(COUNTIF(N$6:N14,разряд)),COUNTIF(разряд,"&lt;"&amp;разряд),0)),"")</f>
        <v/>
      </c>
      <c r="O15" s="239">
        <v>9</v>
      </c>
      <c r="P15" s="184" t="str">
        <f t="shared" si="1"/>
        <v>Санкт-Петербург</v>
      </c>
      <c r="Q15" s="187">
        <f t="shared" si="2"/>
        <v>1</v>
      </c>
      <c r="R15" s="187">
        <f t="shared" si="3"/>
        <v>0</v>
      </c>
      <c r="S15" s="240">
        <f t="shared" si="4"/>
        <v>0</v>
      </c>
      <c r="T15" s="191">
        <f t="shared" si="5"/>
        <v>0</v>
      </c>
      <c r="U15" s="191">
        <f t="shared" si="6"/>
        <v>0</v>
      </c>
      <c r="V15" s="191">
        <f t="shared" si="7"/>
        <v>0</v>
      </c>
      <c r="W15" s="191">
        <f t="shared" si="8"/>
        <v>0</v>
      </c>
      <c r="X15" s="223"/>
      <c r="Y15" s="186" t="str">
        <f t="shared" si="12"/>
        <v>Санкт-Петербург</v>
      </c>
      <c r="Z15" s="186">
        <f>IF(OR($Y15=$Y13,$Y15=$Y14,$Y15=$Y12,$Y15=$Y11,$Y15=$Y10,$Y15=$Y8,$Y15=$Y7)," ",IF(Q15=0," ",Q15))</f>
        <v>1</v>
      </c>
      <c r="AA15" s="186" t="str">
        <f>IF(OR($Y15=$Y13,$Y15=$Y14,$Y15=$Y12,$Y15=$Y11,$Y15=$Y10,$Y15=$Y8,$Y15=$Y7)," ",IF(R15=0," ",R15))</f>
        <v xml:space="preserve"> </v>
      </c>
      <c r="AB15" s="186" t="str">
        <f>IF(OR($Y15=$Y13,$Y15=$Y14,$Y15=$Y12,$Y15=$Y11,$Y15=$Y10,$Y15=$Y8,$Y15=$Y7)," ",IF(S15=0," ",S15))</f>
        <v xml:space="preserve"> </v>
      </c>
      <c r="AC15" s="186" t="str">
        <f>IF(OR($Y15=$Y13,$Y15=$Y14,$Y15=$Y12,$Y15=$Y11,$Y15=$Y10,$Y15=$Y8,$Y15=$Y7)," ",IF(T15=0," ",T15))</f>
        <v xml:space="preserve"> </v>
      </c>
      <c r="AD15" s="186" t="str">
        <f t="shared" si="9"/>
        <v xml:space="preserve"> </v>
      </c>
      <c r="AE15" s="186" t="str">
        <f t="shared" si="9"/>
        <v xml:space="preserve"> </v>
      </c>
      <c r="AF15" s="186" t="str">
        <f t="shared" si="9"/>
        <v xml:space="preserve"> </v>
      </c>
    </row>
    <row r="16" spans="1:35" ht="21.95" customHeight="1">
      <c r="A16" s="229" t="s">
        <v>83</v>
      </c>
      <c r="B16" s="230">
        <v>10</v>
      </c>
      <c r="C16" s="231" t="s">
        <v>115</v>
      </c>
      <c r="D16" s="232" t="s">
        <v>116</v>
      </c>
      <c r="E16" s="233" t="s">
        <v>105</v>
      </c>
      <c r="F16" s="232" t="s">
        <v>117</v>
      </c>
      <c r="G16" s="234"/>
      <c r="H16" s="235" t="s">
        <v>118</v>
      </c>
      <c r="I16" s="236"/>
      <c r="J16" s="237">
        <v>1</v>
      </c>
      <c r="K16" s="225" t="str">
        <f t="shared" si="10"/>
        <v>КМС</v>
      </c>
      <c r="L16" s="225" t="str">
        <f t="shared" si="11"/>
        <v>Саратовская</v>
      </c>
      <c r="M16" s="238" t="str">
        <f t="array" ref="M16">IFERROR(INDEX(субъект,MATCH(SUM(COUNTIF(M$6:M15,субъект)),COUNTIF(субъект,"&lt;"&amp;субъект),0)),"")</f>
        <v>Саратовская</v>
      </c>
      <c r="N16" s="238" t="str">
        <f t="array" ref="N16">IFERROR(INDEX(разряд,MATCH(SUM(COUNTIF(N$6:N15,разряд)),COUNTIF(разряд,"&lt;"&amp;разряд),0)),"")</f>
        <v/>
      </c>
      <c r="O16" s="239">
        <v>10</v>
      </c>
      <c r="P16" s="184" t="str">
        <f t="shared" si="1"/>
        <v>Саратовская</v>
      </c>
      <c r="Q16" s="187">
        <f t="shared" si="2"/>
        <v>1</v>
      </c>
      <c r="R16" s="187">
        <f t="shared" si="3"/>
        <v>0</v>
      </c>
      <c r="S16" s="240">
        <f t="shared" si="4"/>
        <v>0</v>
      </c>
      <c r="T16" s="191">
        <f t="shared" si="5"/>
        <v>0</v>
      </c>
      <c r="U16" s="191">
        <f t="shared" si="6"/>
        <v>0</v>
      </c>
      <c r="V16" s="191">
        <f t="shared" si="7"/>
        <v>0</v>
      </c>
      <c r="W16" s="191">
        <f t="shared" si="8"/>
        <v>0</v>
      </c>
      <c r="X16" s="183"/>
      <c r="Y16" s="186" t="str">
        <f t="shared" si="12"/>
        <v>Саратовская</v>
      </c>
      <c r="Z16" s="186">
        <f>IF(OR($Y16=$Y14,$Y16=$Y15,$Y16=$Y13,$Y16=$Y12,$Y16=$Y11,$Y16=$Y9,$Y16=$Y8,$Y16=$Y7)," ",IF(Q16=0," ",Q16))</f>
        <v>1</v>
      </c>
      <c r="AA16" s="186" t="str">
        <f>IF(OR($Y16=$Y14,$Y16=$Y15,$Y16=$Y13,$Y16=$Y12,$Y16=$Y11,$Y16=$Y9,$Y16=$Y8,$Y16=$Y7)," ",IF(R16=0," ",R16))</f>
        <v xml:space="preserve"> </v>
      </c>
      <c r="AB16" s="186" t="str">
        <f>IF(OR($Y16=$Y14,$Y16=$Y15,$Y16=$Y13,$Y16=$Y12,$Y16=$Y11,$Y16=$Y9,$Y16=$Y8,$Y16=$Y7)," ",IF(S16=0," ",S16))</f>
        <v xml:space="preserve"> </v>
      </c>
      <c r="AC16" s="186" t="str">
        <f>IF(OR($Y16=$Y14,$Y16=$Y15,$Y16=$Y13,$Y16=$Y12,$Y16=$Y11,$Y16=$Y9,$Y16=$Y8,$Y16=$Y7)," ",IF(T16=0," ",T16))</f>
        <v xml:space="preserve"> </v>
      </c>
      <c r="AD16" s="186" t="str">
        <f t="shared" si="9"/>
        <v xml:space="preserve"> </v>
      </c>
      <c r="AE16" s="186" t="str">
        <f t="shared" si="9"/>
        <v xml:space="preserve"> </v>
      </c>
      <c r="AF16" s="186" t="str">
        <f t="shared" si="9"/>
        <v xml:space="preserve"> </v>
      </c>
    </row>
    <row r="17" spans="1:32" ht="21.95" customHeight="1">
      <c r="A17" s="229" t="s">
        <v>84</v>
      </c>
      <c r="B17" s="230">
        <v>11</v>
      </c>
      <c r="C17" s="231" t="s">
        <v>160</v>
      </c>
      <c r="D17" s="232" t="s">
        <v>161</v>
      </c>
      <c r="E17" s="233" t="s">
        <v>157</v>
      </c>
      <c r="F17" s="232" t="s">
        <v>162</v>
      </c>
      <c r="G17" s="234"/>
      <c r="H17" s="235" t="s">
        <v>163</v>
      </c>
      <c r="I17" s="236"/>
      <c r="J17" s="237">
        <v>1</v>
      </c>
      <c r="K17" s="225" t="str">
        <f t="shared" si="10"/>
        <v>МС</v>
      </c>
      <c r="L17" s="225" t="str">
        <f t="shared" si="11"/>
        <v>Краснодарский</v>
      </c>
      <c r="M17" s="238" t="str">
        <f t="array" ref="M17">IFERROR(INDEX(субъект,MATCH(SUM(COUNTIF(M$6:M16,субъект)),COUNTIF(субъект,"&lt;"&amp;субъект),0)),"")</f>
        <v>Свердловская</v>
      </c>
      <c r="N17" s="238" t="str">
        <f t="array" ref="N17">IFERROR(INDEX(разряд,MATCH(SUM(COUNTIF(N$6:N16,разряд)),COUNTIF(разряд,"&lt;"&amp;разряд),0)),"")</f>
        <v/>
      </c>
      <c r="O17" s="239">
        <v>11</v>
      </c>
      <c r="P17" s="184" t="str">
        <f t="shared" si="1"/>
        <v>Свердловская</v>
      </c>
      <c r="Q17" s="187">
        <f t="shared" si="2"/>
        <v>1</v>
      </c>
      <c r="R17" s="187">
        <f t="shared" si="3"/>
        <v>0</v>
      </c>
      <c r="S17" s="240">
        <f t="shared" si="4"/>
        <v>0</v>
      </c>
      <c r="T17" s="191">
        <f t="shared" si="5"/>
        <v>0</v>
      </c>
      <c r="U17" s="191">
        <f t="shared" si="6"/>
        <v>0</v>
      </c>
      <c r="V17" s="191">
        <f t="shared" si="7"/>
        <v>0</v>
      </c>
      <c r="W17" s="191">
        <f t="shared" si="8"/>
        <v>0</v>
      </c>
      <c r="X17" s="183"/>
      <c r="Y17" s="186" t="str">
        <f t="shared" si="12"/>
        <v>Свердловская</v>
      </c>
      <c r="Z17" s="186">
        <f>IF(OR($Y17=$Y15,$Y17=$Y16,$Y17=$Y14,$Y17=$Y13,$Y17=$Y12,$Y17=$Y10,$Y17=$Y9,$Y17=$Y8,$Y17=$Y7)," ",IF(Q17=0," ",Q17))</f>
        <v>1</v>
      </c>
      <c r="AA17" s="186" t="str">
        <f>IF(OR($Y17=$Y15,$Y17=$Y16,$Y17=$Y14,$Y17=$Y13,$Y17=$Y12,$Y17=$Y10,$Y17=$Y9,$Y17=$Y8,$Y17=$Y7)," ",IF(R17=0," ",R17))</f>
        <v xml:space="preserve"> </v>
      </c>
      <c r="AB17" s="186" t="str">
        <f>IF(OR($Y17=$Y15,$Y17=$Y16,$Y17=$Y14,$Y17=$Y13,$Y17=$Y12,$Y17=$Y10,$Y17=$Y9,$Y17=$Y8,$Y17=$Y7)," ",IF(S17=0," ",S17))</f>
        <v xml:space="preserve"> </v>
      </c>
      <c r="AC17" s="186" t="str">
        <f>IF(OR($Y17=$Y15,$Y17=$Y16,$Y17=$Y14,$Y17=$Y13,$Y17=$Y12,$Y17=$Y10,$Y17=$Y9,$Y17=$Y8,$Y17=$Y7)," ",IF(T17=0," ",T17))</f>
        <v xml:space="preserve"> </v>
      </c>
      <c r="AD17" s="186" t="str">
        <f t="shared" si="9"/>
        <v xml:space="preserve"> </v>
      </c>
      <c r="AE17" s="186" t="str">
        <f t="shared" si="9"/>
        <v xml:space="preserve"> </v>
      </c>
      <c r="AF17" s="186" t="str">
        <f t="shared" si="9"/>
        <v xml:space="preserve"> </v>
      </c>
    </row>
    <row r="18" spans="1:32" ht="21.95" customHeight="1">
      <c r="A18" s="229" t="s">
        <v>85</v>
      </c>
      <c r="B18" s="230">
        <v>12</v>
      </c>
      <c r="C18" s="231" t="s">
        <v>134</v>
      </c>
      <c r="D18" s="232" t="s">
        <v>135</v>
      </c>
      <c r="E18" s="233" t="s">
        <v>131</v>
      </c>
      <c r="F18" s="232" t="s">
        <v>136</v>
      </c>
      <c r="G18" s="234"/>
      <c r="H18" s="235" t="s">
        <v>137</v>
      </c>
      <c r="I18" s="236"/>
      <c r="J18" s="237">
        <v>1</v>
      </c>
      <c r="K18" s="225" t="str">
        <f t="shared" si="10"/>
        <v>КМС</v>
      </c>
      <c r="L18" s="225" t="str">
        <f t="shared" si="11"/>
        <v>Свердловская</v>
      </c>
      <c r="M18" s="238" t="str">
        <f t="array" ref="M18">IFERROR(INDEX(субъект,MATCH(SUM(COUNTIF(M$6:M17,субъект)),COUNTIF(субъект,"&lt;"&amp;субъект),0)),"")</f>
        <v xml:space="preserve">Свердловская </v>
      </c>
      <c r="N18" s="238" t="str">
        <f t="array" ref="N18">IFERROR(INDEX(разряд,MATCH(SUM(COUNTIF(N$6:N17,разряд)),COUNTIF(разряд,"&lt;"&amp;разряд),0)),"")</f>
        <v/>
      </c>
      <c r="O18" s="239">
        <v>12</v>
      </c>
      <c r="P18" s="184" t="str">
        <f t="shared" si="1"/>
        <v xml:space="preserve">Свердловская </v>
      </c>
      <c r="Q18" s="187">
        <f t="shared" si="2"/>
        <v>0</v>
      </c>
      <c r="R18" s="187">
        <f t="shared" si="3"/>
        <v>1</v>
      </c>
      <c r="S18" s="240">
        <f t="shared" si="4"/>
        <v>0</v>
      </c>
      <c r="T18" s="191">
        <f t="shared" si="5"/>
        <v>0</v>
      </c>
      <c r="U18" s="191">
        <f t="shared" si="6"/>
        <v>0</v>
      </c>
      <c r="V18" s="191">
        <f t="shared" si="7"/>
        <v>0</v>
      </c>
      <c r="W18" s="191">
        <f t="shared" si="8"/>
        <v>0</v>
      </c>
      <c r="X18" s="183"/>
      <c r="Y18" s="186" t="str">
        <f t="shared" si="12"/>
        <v xml:space="preserve">Свердловская </v>
      </c>
      <c r="Z18" s="186" t="str">
        <f>IF(OR($Y18=$Y16,$Y18=$Y17,$Y18=$Y15,$Y18=$Y14,$Y18=$Y13,$Y18=$Y11,$Y18=$Y10,$Y18=$Y9,$Y18=$Y8,$Y18=$Y7)," ",IF(Q18=0," ",Q18))</f>
        <v xml:space="preserve"> </v>
      </c>
      <c r="AA18" s="186">
        <f>IF(OR($Y18=$Y16,$Y18=$Y17,$Y18=$Y15,$Y18=$Y14,$Y18=$Y13,$Y18=$Y11,$Y18=$Y10,$Y18=$Y9,$Y18=$Y8,$Y18=$Y7)," ",IF(R18=0," ",R18))</f>
        <v>1</v>
      </c>
      <c r="AB18" s="186" t="str">
        <f>IF(OR($Y18=$Y16,$Y18=$Y17,$Y18=$Y15,$Y18=$Y14,$Y18=$Y13,$Y18=$Y11,$Y18=$Y10,$Y18=$Y9,$Y18=$Y8,$Y18=$Y7)," ",IF(S18=0," ",S18))</f>
        <v xml:space="preserve"> </v>
      </c>
      <c r="AC18" s="186" t="str">
        <f>IF(OR($Y18=$Y16,$Y18=$Y17,$Y18=$Y15,$Y18=$Y14,$Y18=$Y13,$Y18=$Y11,$Y18=$Y10,$Y18=$Y9,$Y18=$Y8,$Y18=$Y7)," ",IF(T18=0," ",T18))</f>
        <v xml:space="preserve"> </v>
      </c>
      <c r="AD18" s="186" t="str">
        <f t="shared" si="9"/>
        <v xml:space="preserve"> </v>
      </c>
      <c r="AE18" s="186" t="str">
        <f t="shared" si="9"/>
        <v xml:space="preserve"> </v>
      </c>
      <c r="AF18" s="186" t="str">
        <f t="shared" si="9"/>
        <v xml:space="preserve"> </v>
      </c>
    </row>
    <row r="19" spans="1:32" ht="21.95" customHeight="1">
      <c r="A19" s="229" t="s">
        <v>86</v>
      </c>
      <c r="B19" s="230">
        <v>13</v>
      </c>
      <c r="C19" s="231" t="s">
        <v>112</v>
      </c>
      <c r="D19" s="232" t="s">
        <v>113</v>
      </c>
      <c r="E19" s="233" t="s">
        <v>105</v>
      </c>
      <c r="F19" s="232" t="s">
        <v>110</v>
      </c>
      <c r="G19" s="234"/>
      <c r="H19" s="235" t="s">
        <v>114</v>
      </c>
      <c r="I19" s="236"/>
      <c r="J19" s="237">
        <v>1</v>
      </c>
      <c r="K19" s="225" t="str">
        <f t="shared" si="10"/>
        <v>КМС</v>
      </c>
      <c r="L19" s="225" t="str">
        <f t="shared" si="11"/>
        <v>Р.Татарстан</v>
      </c>
      <c r="M19" s="238" t="str">
        <f t="array" ref="M19">IFERROR(INDEX(субъект,MATCH(SUM(COUNTIF(M$6:M18,субъект)),COUNTIF(субъект,"&lt;"&amp;субъект),0)),"")</f>
        <v>ХМАО-Югра</v>
      </c>
      <c r="N19" s="238" t="str">
        <f t="array" ref="N19">IFERROR(INDEX(разряд,MATCH(SUM(COUNTIF(N$6:N18,разряд)),COUNTIF(разряд,"&lt;"&amp;разряд),0)),"")</f>
        <v/>
      </c>
      <c r="O19" s="239">
        <v>13</v>
      </c>
      <c r="P19" s="184" t="str">
        <f t="shared" si="1"/>
        <v>ХМАО-Югра</v>
      </c>
      <c r="Q19" s="187">
        <f t="shared" si="2"/>
        <v>0</v>
      </c>
      <c r="R19" s="187">
        <f t="shared" si="3"/>
        <v>1</v>
      </c>
      <c r="S19" s="240">
        <f t="shared" si="4"/>
        <v>0</v>
      </c>
      <c r="T19" s="191">
        <f t="shared" si="5"/>
        <v>0</v>
      </c>
      <c r="U19" s="191">
        <f t="shared" si="6"/>
        <v>0</v>
      </c>
      <c r="V19" s="191">
        <f t="shared" si="7"/>
        <v>0</v>
      </c>
      <c r="W19" s="191">
        <f t="shared" si="8"/>
        <v>0</v>
      </c>
      <c r="X19" s="183"/>
      <c r="Y19" s="186" t="str">
        <f t="shared" si="12"/>
        <v>ХМАО-Югра</v>
      </c>
      <c r="Z19" s="186" t="str">
        <f t="shared" ref="Z19:AC22" si="13">IF(Q19=0," ",Q19)</f>
        <v xml:space="preserve"> </v>
      </c>
      <c r="AA19" s="186">
        <f t="shared" si="13"/>
        <v>1</v>
      </c>
      <c r="AB19" s="186" t="str">
        <f t="shared" si="13"/>
        <v xml:space="preserve"> </v>
      </c>
      <c r="AC19" s="186" t="str">
        <f t="shared" si="13"/>
        <v xml:space="preserve"> </v>
      </c>
      <c r="AD19" s="186" t="str">
        <f t="shared" si="9"/>
        <v xml:space="preserve"> </v>
      </c>
      <c r="AE19" s="186" t="str">
        <f t="shared" si="9"/>
        <v xml:space="preserve"> </v>
      </c>
      <c r="AF19" s="186" t="str">
        <f t="shared" si="9"/>
        <v xml:space="preserve"> </v>
      </c>
    </row>
    <row r="20" spans="1:32" ht="21.95" customHeight="1">
      <c r="A20" s="229" t="s">
        <v>87</v>
      </c>
      <c r="B20" s="230">
        <v>14</v>
      </c>
      <c r="C20" s="231" t="s">
        <v>119</v>
      </c>
      <c r="D20" s="232" t="s">
        <v>120</v>
      </c>
      <c r="E20" s="233" t="s">
        <v>121</v>
      </c>
      <c r="F20" s="232" t="s">
        <v>122</v>
      </c>
      <c r="G20" s="234"/>
      <c r="H20" s="235" t="s">
        <v>123</v>
      </c>
      <c r="I20" s="236"/>
      <c r="J20" s="237">
        <v>1</v>
      </c>
      <c r="K20" s="225" t="str">
        <f t="shared" si="10"/>
        <v>КМС</v>
      </c>
      <c r="L20" s="225" t="str">
        <f t="shared" si="11"/>
        <v>Р.Дагестан</v>
      </c>
      <c r="M20" s="238" t="str">
        <f t="array" ref="M20">IFERROR(INDEX(субъект,MATCH(SUM(COUNTIF(M$6:M19,субъект)),COUNTIF(субъект,"&lt;"&amp;субъект),0)),"")</f>
        <v/>
      </c>
      <c r="N20" s="238" t="str">
        <f t="array" ref="N20">IFERROR(INDEX(разряд,MATCH(SUM(COUNTIF(N$6:N19,разряд)),COUNTIF(разряд,"&lt;"&amp;разряд),0)),"")</f>
        <v/>
      </c>
      <c r="O20" s="239">
        <v>14</v>
      </c>
      <c r="P20" s="184" t="str">
        <f t="shared" si="1"/>
        <v/>
      </c>
      <c r="Q20" s="187">
        <f t="shared" si="2"/>
        <v>0</v>
      </c>
      <c r="R20" s="187">
        <f t="shared" si="3"/>
        <v>0</v>
      </c>
      <c r="S20" s="240">
        <f t="shared" si="4"/>
        <v>0</v>
      </c>
      <c r="T20" s="191">
        <f t="shared" si="5"/>
        <v>0</v>
      </c>
      <c r="U20" s="191">
        <f t="shared" si="6"/>
        <v>0</v>
      </c>
      <c r="V20" s="191">
        <f t="shared" si="7"/>
        <v>0</v>
      </c>
      <c r="W20" s="191">
        <f t="shared" si="8"/>
        <v>0</v>
      </c>
      <c r="X20" s="183"/>
      <c r="Y20" s="186" t="str">
        <f t="shared" si="12"/>
        <v/>
      </c>
      <c r="Z20" s="186" t="str">
        <f t="shared" si="13"/>
        <v xml:space="preserve"> </v>
      </c>
      <c r="AA20" s="186" t="str">
        <f t="shared" si="13"/>
        <v xml:space="preserve"> </v>
      </c>
      <c r="AB20" s="186" t="str">
        <f t="shared" si="13"/>
        <v xml:space="preserve"> </v>
      </c>
      <c r="AC20" s="186" t="str">
        <f t="shared" si="13"/>
        <v xml:space="preserve"> </v>
      </c>
      <c r="AD20" s="186" t="str">
        <f t="shared" si="9"/>
        <v xml:space="preserve"> </v>
      </c>
      <c r="AE20" s="186" t="str">
        <f t="shared" si="9"/>
        <v xml:space="preserve"> </v>
      </c>
      <c r="AF20" s="186" t="str">
        <f t="shared" si="9"/>
        <v xml:space="preserve"> </v>
      </c>
    </row>
    <row r="21" spans="1:32" ht="21.95" customHeight="1">
      <c r="A21" s="229" t="s">
        <v>88</v>
      </c>
      <c r="B21" s="230">
        <v>15</v>
      </c>
      <c r="C21" s="231" t="s">
        <v>147</v>
      </c>
      <c r="D21" s="232" t="s">
        <v>148</v>
      </c>
      <c r="E21" s="233" t="s">
        <v>144</v>
      </c>
      <c r="F21" s="232" t="s">
        <v>149</v>
      </c>
      <c r="G21" s="234"/>
      <c r="H21" s="235" t="s">
        <v>150</v>
      </c>
      <c r="I21" s="236"/>
      <c r="J21" s="237">
        <v>1</v>
      </c>
      <c r="K21" s="225" t="str">
        <f t="shared" si="10"/>
        <v>КМС</v>
      </c>
      <c r="L21" s="225" t="str">
        <f t="shared" si="11"/>
        <v>Московская</v>
      </c>
      <c r="M21" s="238" t="str">
        <f t="array" ref="M21">IFERROR(INDEX(субъект,MATCH(SUM(COUNTIF(M$6:M20,субъект)),COUNTIF(субъект,"&lt;"&amp;субъект),0)),"")</f>
        <v/>
      </c>
      <c r="N21" s="238" t="str">
        <f t="array" ref="N21">IFERROR(INDEX(разряд,MATCH(SUM(COUNTIF(N$6:N20,разряд)),COUNTIF(разряд,"&lt;"&amp;разряд),0)),"")</f>
        <v/>
      </c>
      <c r="O21" s="239">
        <v>15</v>
      </c>
      <c r="P21" s="184" t="str">
        <f t="shared" si="1"/>
        <v/>
      </c>
      <c r="Q21" s="187">
        <f t="shared" si="2"/>
        <v>0</v>
      </c>
      <c r="R21" s="187">
        <f t="shared" si="3"/>
        <v>0</v>
      </c>
      <c r="S21" s="240">
        <f t="shared" si="4"/>
        <v>0</v>
      </c>
      <c r="T21" s="191">
        <f t="shared" si="5"/>
        <v>0</v>
      </c>
      <c r="U21" s="191">
        <f t="shared" si="6"/>
        <v>0</v>
      </c>
      <c r="V21" s="191">
        <f t="shared" si="7"/>
        <v>0</v>
      </c>
      <c r="W21" s="191">
        <f t="shared" si="8"/>
        <v>0</v>
      </c>
      <c r="X21" s="183"/>
      <c r="Y21" s="186" t="str">
        <f t="shared" si="12"/>
        <v/>
      </c>
      <c r="Z21" s="186" t="str">
        <f t="shared" si="13"/>
        <v xml:space="preserve"> </v>
      </c>
      <c r="AA21" s="186" t="str">
        <f t="shared" si="13"/>
        <v xml:space="preserve"> </v>
      </c>
      <c r="AB21" s="186" t="str">
        <f t="shared" si="13"/>
        <v xml:space="preserve"> </v>
      </c>
      <c r="AC21" s="186" t="str">
        <f t="shared" si="13"/>
        <v xml:space="preserve"> </v>
      </c>
      <c r="AD21" s="186" t="str">
        <f t="shared" si="9"/>
        <v xml:space="preserve"> </v>
      </c>
      <c r="AE21" s="186" t="str">
        <f t="shared" si="9"/>
        <v xml:space="preserve"> </v>
      </c>
      <c r="AF21" s="186" t="str">
        <f t="shared" si="9"/>
        <v xml:space="preserve"> </v>
      </c>
    </row>
    <row r="22" spans="1:32" ht="21.95" customHeight="1">
      <c r="A22" s="229" t="s">
        <v>89</v>
      </c>
      <c r="B22" s="230">
        <v>16</v>
      </c>
      <c r="C22" s="231" t="s">
        <v>100</v>
      </c>
      <c r="D22" s="232" t="s">
        <v>101</v>
      </c>
      <c r="E22" s="233" t="s">
        <v>97</v>
      </c>
      <c r="F22" s="232" t="s">
        <v>102</v>
      </c>
      <c r="G22" s="234"/>
      <c r="H22" s="235" t="s">
        <v>99</v>
      </c>
      <c r="I22" s="236"/>
      <c r="J22" s="237">
        <v>1</v>
      </c>
      <c r="K22" s="225" t="str">
        <f t="shared" si="10"/>
        <v>КМС</v>
      </c>
      <c r="L22" s="225" t="str">
        <f t="shared" si="11"/>
        <v>Москва</v>
      </c>
      <c r="M22" s="238" t="str">
        <f t="array" ref="M22">IFERROR(INDEX(субъект,MATCH(SUM(COUNTIF(M$6:M21,субъект)),COUNTIF(субъект,"&lt;"&amp;субъект),0)),"")</f>
        <v/>
      </c>
      <c r="N22" s="238" t="str">
        <f t="array" ref="N22">IFERROR(INDEX(разряд,MATCH(SUM(COUNTIF(N$6:N21,разряд)),COUNTIF(разряд,"&lt;"&amp;разряд),0)),"")</f>
        <v/>
      </c>
      <c r="O22" s="239">
        <v>16</v>
      </c>
      <c r="P22" s="184" t="str">
        <f t="shared" si="1"/>
        <v/>
      </c>
      <c r="Q22" s="187">
        <f t="shared" si="2"/>
        <v>0</v>
      </c>
      <c r="R22" s="187">
        <f t="shared" si="3"/>
        <v>0</v>
      </c>
      <c r="S22" s="240">
        <f t="shared" si="4"/>
        <v>0</v>
      </c>
      <c r="T22" s="191">
        <f t="shared" si="5"/>
        <v>0</v>
      </c>
      <c r="U22" s="191">
        <f t="shared" si="6"/>
        <v>0</v>
      </c>
      <c r="V22" s="191">
        <f t="shared" si="7"/>
        <v>0</v>
      </c>
      <c r="W22" s="191">
        <f t="shared" si="8"/>
        <v>0</v>
      </c>
      <c r="X22" s="183"/>
      <c r="Y22" s="186" t="str">
        <f t="shared" si="12"/>
        <v/>
      </c>
      <c r="Z22" s="186" t="str">
        <f t="shared" si="13"/>
        <v xml:space="preserve"> </v>
      </c>
      <c r="AA22" s="186" t="str">
        <f t="shared" si="13"/>
        <v xml:space="preserve"> </v>
      </c>
      <c r="AB22" s="186" t="str">
        <f t="shared" si="13"/>
        <v xml:space="preserve"> </v>
      </c>
      <c r="AC22" s="186" t="str">
        <f t="shared" si="13"/>
        <v xml:space="preserve"> </v>
      </c>
      <c r="AD22" s="186" t="str">
        <f t="shared" si="9"/>
        <v xml:space="preserve"> </v>
      </c>
      <c r="AE22" s="186" t="str">
        <f t="shared" si="9"/>
        <v xml:space="preserve"> </v>
      </c>
      <c r="AF22" s="186" t="str">
        <f t="shared" si="9"/>
        <v xml:space="preserve"> </v>
      </c>
    </row>
    <row r="23" spans="1:32">
      <c r="A23" s="86" t="s">
        <v>46</v>
      </c>
      <c r="D23" s="224"/>
      <c r="E23" s="224"/>
      <c r="F23" s="224"/>
      <c r="G23" s="224"/>
      <c r="H23" s="224"/>
      <c r="I23" s="4"/>
      <c r="J23" s="300"/>
      <c r="K23" s="301"/>
      <c r="L23" s="302"/>
      <c r="M23" s="221"/>
      <c r="N23" s="221"/>
      <c r="O23" s="4"/>
    </row>
    <row r="24" spans="1:32">
      <c r="D24" s="224"/>
      <c r="E24" s="224"/>
      <c r="F24" s="224"/>
      <c r="G24" s="224"/>
      <c r="H24" s="224"/>
      <c r="J24" s="300"/>
      <c r="K24" s="301"/>
      <c r="L24" s="302"/>
      <c r="M24" s="221"/>
      <c r="N24" s="221"/>
      <c r="O24" s="4"/>
    </row>
    <row r="25" spans="1:32">
      <c r="A25" s="86" t="s">
        <v>47</v>
      </c>
      <c r="D25" s="224"/>
      <c r="E25" s="224"/>
      <c r="F25" s="224"/>
      <c r="G25" s="224"/>
      <c r="H25" s="224"/>
      <c r="J25" s="300"/>
      <c r="K25" s="301"/>
      <c r="L25" s="302"/>
      <c r="M25" s="221"/>
      <c r="N25" s="221"/>
      <c r="O25" s="4"/>
    </row>
    <row r="26" spans="1:32">
      <c r="D26" s="224"/>
      <c r="E26" s="224"/>
      <c r="F26" s="224"/>
      <c r="G26" s="224"/>
      <c r="H26" s="224"/>
      <c r="J26" s="300"/>
      <c r="K26" s="301"/>
      <c r="L26" s="302"/>
      <c r="M26" s="221"/>
      <c r="N26" s="221"/>
      <c r="O26" s="4"/>
    </row>
    <row r="27" spans="1:32">
      <c r="A27" s="86" t="s">
        <v>48</v>
      </c>
      <c r="D27" s="224"/>
      <c r="E27" s="224"/>
      <c r="F27" s="224"/>
      <c r="G27" s="224"/>
      <c r="H27" s="224"/>
      <c r="J27" s="300"/>
      <c r="K27" s="301"/>
      <c r="L27" s="302"/>
      <c r="M27" s="221"/>
      <c r="N27" s="221"/>
      <c r="O27" s="4"/>
    </row>
    <row r="28" spans="1:32">
      <c r="D28" s="224"/>
      <c r="E28" s="224"/>
      <c r="F28" s="224"/>
      <c r="G28" s="224"/>
      <c r="H28" s="224"/>
      <c r="J28" s="300"/>
      <c r="K28" s="301"/>
      <c r="L28" s="302"/>
      <c r="M28" s="221"/>
      <c r="N28" s="221"/>
      <c r="O28" s="4"/>
    </row>
    <row r="29" spans="1:32">
      <c r="A29" s="86" t="s">
        <v>49</v>
      </c>
      <c r="D29" s="224"/>
      <c r="E29" s="224"/>
      <c r="F29" s="224"/>
      <c r="G29" s="224"/>
      <c r="H29" s="224"/>
      <c r="J29" s="300"/>
      <c r="K29" s="301"/>
      <c r="L29" s="302"/>
      <c r="M29" s="221"/>
      <c r="N29" s="221"/>
      <c r="O29" s="4"/>
    </row>
    <row r="30" spans="1:32">
      <c r="A30" s="224"/>
      <c r="B30" s="224"/>
      <c r="C30" s="224"/>
      <c r="D30" s="224"/>
      <c r="E30" s="224"/>
      <c r="F30" s="224"/>
      <c r="G30" s="224"/>
      <c r="H30" s="224"/>
      <c r="J30" s="300"/>
      <c r="K30" s="301"/>
      <c r="L30" s="302"/>
      <c r="M30" s="221"/>
      <c r="N30" s="221"/>
      <c r="O30" s="4"/>
    </row>
    <row r="81" spans="9:9">
      <c r="I81" s="224"/>
    </row>
    <row r="82" spans="9:9">
      <c r="I82" s="224"/>
    </row>
    <row r="83" spans="9:9">
      <c r="I83" s="224"/>
    </row>
    <row r="84" spans="9:9">
      <c r="I84" s="224"/>
    </row>
    <row r="85" spans="9:9">
      <c r="I85" s="224"/>
    </row>
    <row r="86" spans="9:9">
      <c r="I86" s="224"/>
    </row>
    <row r="87" spans="9:9">
      <c r="I87" s="224"/>
    </row>
    <row r="88" spans="9:9">
      <c r="I88" s="224"/>
    </row>
    <row r="89" spans="9:9">
      <c r="I89" s="224"/>
    </row>
    <row r="90" spans="9:9">
      <c r="I90" s="224"/>
    </row>
    <row r="91" spans="9:9">
      <c r="I91" s="224"/>
    </row>
    <row r="92" spans="9:9">
      <c r="I92" s="224"/>
    </row>
    <row r="93" spans="9:9">
      <c r="I93" s="224"/>
    </row>
    <row r="94" spans="9:9">
      <c r="I94" s="224"/>
    </row>
    <row r="95" spans="9:9">
      <c r="I95" s="224"/>
    </row>
    <row r="96" spans="9:9">
      <c r="I96" s="224"/>
    </row>
    <row r="97" spans="9:9">
      <c r="I97" s="224"/>
    </row>
    <row r="98" spans="9:9">
      <c r="I98" s="224"/>
    </row>
    <row r="99" spans="9:9">
      <c r="I99" s="224"/>
    </row>
    <row r="100" spans="9:9">
      <c r="I100" s="224"/>
    </row>
    <row r="101" spans="9:9">
      <c r="I101" s="224"/>
    </row>
    <row r="102" spans="9:9">
      <c r="I102" s="224"/>
    </row>
    <row r="103" spans="9:9">
      <c r="I103" s="224"/>
    </row>
    <row r="104" spans="9:9">
      <c r="I104" s="224"/>
    </row>
    <row r="105" spans="9:9">
      <c r="I105" s="224"/>
    </row>
    <row r="106" spans="9:9">
      <c r="I106" s="224"/>
    </row>
    <row r="107" spans="9:9">
      <c r="I107" s="224"/>
    </row>
    <row r="108" spans="9:9">
      <c r="I108" s="224"/>
    </row>
    <row r="109" spans="9:9">
      <c r="I109" s="224"/>
    </row>
    <row r="110" spans="9:9">
      <c r="I110" s="224"/>
    </row>
    <row r="111" spans="9:9">
      <c r="I111" s="224"/>
    </row>
    <row r="112" spans="9:9">
      <c r="I112" s="224"/>
    </row>
    <row r="113" spans="9:9">
      <c r="I113" s="224"/>
    </row>
    <row r="114" spans="9:9">
      <c r="I114" s="224"/>
    </row>
    <row r="115" spans="9:9">
      <c r="I115" s="224"/>
    </row>
    <row r="116" spans="9:9">
      <c r="I116" s="224"/>
    </row>
    <row r="117" spans="9:9">
      <c r="I117" s="224"/>
    </row>
    <row r="118" spans="9:9">
      <c r="I118" s="224"/>
    </row>
    <row r="119" spans="9:9">
      <c r="I119" s="224"/>
    </row>
    <row r="120" spans="9:9">
      <c r="I120" s="224"/>
    </row>
    <row r="121" spans="9:9">
      <c r="I121" s="224"/>
    </row>
    <row r="122" spans="9:9">
      <c r="I122" s="224"/>
    </row>
    <row r="123" spans="9:9">
      <c r="I123" s="224"/>
    </row>
    <row r="124" spans="9:9">
      <c r="I124" s="224"/>
    </row>
    <row r="125" spans="9:9">
      <c r="I125" s="224"/>
    </row>
    <row r="126" spans="9:9">
      <c r="I126" s="224"/>
    </row>
    <row r="127" spans="9:9">
      <c r="I127" s="224"/>
    </row>
    <row r="128" spans="9:9">
      <c r="I128" s="224"/>
    </row>
    <row r="129" spans="9:9">
      <c r="I129" s="224"/>
    </row>
    <row r="130" spans="9:9">
      <c r="I130" s="224"/>
    </row>
    <row r="131" spans="9:9">
      <c r="I131" s="224"/>
    </row>
    <row r="132" spans="9:9">
      <c r="I132" s="224"/>
    </row>
    <row r="133" spans="9:9">
      <c r="I133" s="224"/>
    </row>
    <row r="134" spans="9:9">
      <c r="I134" s="224"/>
    </row>
    <row r="135" spans="9:9">
      <c r="I135" s="224"/>
    </row>
    <row r="136" spans="9:9">
      <c r="I136" s="224"/>
    </row>
    <row r="137" spans="9:9">
      <c r="I137" s="224"/>
    </row>
    <row r="138" spans="9:9">
      <c r="I138" s="224"/>
    </row>
    <row r="139" spans="9:9">
      <c r="I139" s="224"/>
    </row>
    <row r="140" spans="9:9">
      <c r="I140" s="224"/>
    </row>
    <row r="141" spans="9:9">
      <c r="I141" s="224"/>
    </row>
    <row r="142" spans="9:9">
      <c r="I142" s="22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6</xdr:col>
                    <xdr:colOff>0</xdr:colOff>
                    <xdr:row>3</xdr:row>
                    <xdr:rowOff>38100</xdr:rowOff>
                  </from>
                  <to>
                    <xdr:col>6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257175</xdr:colOff>
                    <xdr:row>3</xdr:row>
                    <xdr:rowOff>38100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C57"/>
  <sheetViews>
    <sheetView tabSelected="1" topLeftCell="A2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7109375" customWidth="1"/>
    <col min="4" max="4" width="11.28515625" customWidth="1"/>
    <col min="5" max="17" width="4.7109375" customWidth="1"/>
    <col min="18" max="18" width="14" customWidth="1"/>
    <col min="19" max="19" width="7.7109375" customWidth="1"/>
    <col min="20" max="20" width="11.28515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07" t="s">
        <v>22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08" t="s">
        <v>23</v>
      </c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333" t="str">
        <f>пр.взв!B2</f>
        <v>Первенство России по самбо среди юниоров и юниорок до 24 лет  ЕКП № 1802, отбор на Кубок Европы 2022г.</v>
      </c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5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36" t="str">
        <f>пр.взв!A3</f>
        <v>17-21 января 2022года                          г.Кстово</v>
      </c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37" t="str">
        <f>пр.взв!D4</f>
        <v>В.к. 98 кг.</v>
      </c>
      <c r="K5" s="338"/>
      <c r="L5" s="339"/>
      <c r="M5" s="340" t="str">
        <f>Y5&amp;" "&amp;Z5</f>
        <v>16 участников</v>
      </c>
      <c r="N5" s="341"/>
      <c r="O5" s="342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16</v>
      </c>
      <c r="Z5" s="266" t="s">
        <v>91</v>
      </c>
      <c r="AA5" s="112"/>
      <c r="AB5" s="112"/>
    </row>
    <row r="6" spans="1:29" ht="18" customHeight="1" thickBot="1">
      <c r="A6" s="325" t="s">
        <v>0</v>
      </c>
      <c r="B6" s="325"/>
      <c r="C6" s="24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09">
        <v>1</v>
      </c>
      <c r="B7" s="311" t="str">
        <f>IFERROR(VLOOKUP(A7,пр.взв!$B$7:$H$22,2,0),"")</f>
        <v>НЕКАЗАКОВ  Сергей Сергеевич</v>
      </c>
      <c r="C7" s="313" t="str">
        <f>IFERROR(VLOOKUP(A7,пр.взв!$B$7:$H$22,3,0),"")</f>
        <v>20.10.2000, КМС</v>
      </c>
      <c r="D7" s="313" t="str">
        <f>IFERROR(VLOOKUP(A7,пр.взв!$B$7:$H$22,5,0),"")</f>
        <v>Воронежская, Воронеж, Д</v>
      </c>
      <c r="E7" s="124"/>
      <c r="F7" s="243"/>
      <c r="G7" s="243"/>
      <c r="H7" s="243"/>
      <c r="I7" s="125" t="s">
        <v>25</v>
      </c>
      <c r="J7" s="243"/>
      <c r="K7" s="243"/>
      <c r="L7" s="243"/>
      <c r="M7" s="126"/>
      <c r="N7" s="126"/>
      <c r="O7" s="126"/>
      <c r="P7" s="126"/>
      <c r="Q7" s="127"/>
      <c r="R7" s="313" t="str">
        <f>IFERROR(VLOOKUP(U7,пр.взв!$B$7:$H$22,2,0),"")</f>
        <v xml:space="preserve">ОСИПОВ  Егор Дмитриевич </v>
      </c>
      <c r="S7" s="324" t="str">
        <f>IFERROR(VLOOKUP(U7,пр.взв!$B$7:$H$22,3,0),"")</f>
        <v>05.07.2001, КМС</v>
      </c>
      <c r="T7" s="324" t="str">
        <f>IFERROR(VLOOKUP(U7,пр.взв!$B$7:$H$22,5,0),"")</f>
        <v>Рязанская, Рязань</v>
      </c>
      <c r="U7" s="304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10"/>
      <c r="B8" s="312"/>
      <c r="C8" s="314"/>
      <c r="D8" s="314"/>
      <c r="E8" s="128"/>
      <c r="F8" s="126"/>
      <c r="G8" s="126"/>
      <c r="H8" s="129"/>
      <c r="I8" s="326" t="str">
        <f>IFERROR(VLOOKUP(H8,пр.взв!$B$7:$I$22,2,0),"")</f>
        <v/>
      </c>
      <c r="J8" s="327"/>
      <c r="K8" s="327"/>
      <c r="L8" s="327"/>
      <c r="M8" s="328"/>
      <c r="N8" s="126"/>
      <c r="O8" s="126"/>
      <c r="P8" s="126"/>
      <c r="Q8" s="128"/>
      <c r="R8" s="314"/>
      <c r="S8" s="320"/>
      <c r="T8" s="320"/>
      <c r="U8" s="305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10">
        <v>9</v>
      </c>
      <c r="B9" s="318" t="str">
        <f>IFERROR(VLOOKUP(A9,пр.взв!$B$7:$H$22,2,0),"")</f>
        <v>ПОДГОРНЫЙ АРТЕМ АНДРЕЕВИЧ</v>
      </c>
      <c r="C9" s="318" t="str">
        <f>IFERROR(VLOOKUP(A9,пр.взв!$B$7:$H$22,3,0),"")</f>
        <v>27.01.2000, КМС</v>
      </c>
      <c r="D9" s="320" t="str">
        <f>IFERROR(VLOOKUP(A9,пр.взв!$B$7:$H$22,5,0),"")</f>
        <v>Санкт-Петербург, МО</v>
      </c>
      <c r="E9" s="130"/>
      <c r="F9" s="246"/>
      <c r="G9" s="126"/>
      <c r="H9" s="243"/>
      <c r="I9" s="329"/>
      <c r="J9" s="330"/>
      <c r="K9" s="330"/>
      <c r="L9" s="330"/>
      <c r="M9" s="331"/>
      <c r="N9" s="126"/>
      <c r="O9" s="126"/>
      <c r="P9" s="131"/>
      <c r="Q9" s="130"/>
      <c r="R9" s="318" t="str">
        <f>IFERROR(VLOOKUP(U9,пр.взв!$B$7:$H$22,2,0),"")</f>
        <v>ХОЛОДЕЛЬЩИКОВ Михаил Валерьевич</v>
      </c>
      <c r="S9" s="318" t="str">
        <f>IFERROR(VLOOKUP(U9,пр.взв!$B$7:$H$22,3,0),"")</f>
        <v>29.07.2002, КМС</v>
      </c>
      <c r="T9" s="318" t="str">
        <f>IFERROR(VLOOKUP(U9,пр.взв!$B$7:$H$22,5,0),"")</f>
        <v>Саратовская, Саратов</v>
      </c>
      <c r="U9" s="305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17"/>
      <c r="B10" s="319"/>
      <c r="C10" s="319"/>
      <c r="D10" s="314"/>
      <c r="E10" s="132"/>
      <c r="F10" s="247"/>
      <c r="G10" s="128"/>
      <c r="H10" s="243"/>
      <c r="I10" s="127"/>
      <c r="J10" s="127"/>
      <c r="K10" s="248"/>
      <c r="L10" s="127"/>
      <c r="M10" s="126"/>
      <c r="N10" s="126"/>
      <c r="O10" s="128"/>
      <c r="P10" s="133"/>
      <c r="Q10" s="127"/>
      <c r="R10" s="319"/>
      <c r="S10" s="319"/>
      <c r="T10" s="319"/>
      <c r="U10" s="306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09">
        <v>5</v>
      </c>
      <c r="B11" s="311" t="str">
        <f>IFERROR(VLOOKUP(A11,пр.взв!$B$7:$H$22,2,0),"")</f>
        <v>ВЕСЕЛОВ  Андрей  Андреевич</v>
      </c>
      <c r="C11" s="313" t="str">
        <f>IFERROR(VLOOKUP(A11,пр.взв!$B$7:$H$22,3,0),"")</f>
        <v>19.04.2001, МС</v>
      </c>
      <c r="D11" s="313" t="str">
        <f>IFERROR(VLOOKUP(A11,пр.взв!$B$7:$H$22,5,0),"")</f>
        <v>Нижегородская, Кстово, ЦСКА</v>
      </c>
      <c r="E11" s="124"/>
      <c r="F11" s="247"/>
      <c r="G11" s="130"/>
      <c r="H11" s="134"/>
      <c r="I11" s="243"/>
      <c r="J11" s="127"/>
      <c r="K11" s="127"/>
      <c r="L11" s="127"/>
      <c r="M11" s="126"/>
      <c r="N11" s="131"/>
      <c r="O11" s="130"/>
      <c r="P11" s="133"/>
      <c r="Q11" s="127"/>
      <c r="R11" s="324" t="str">
        <f>IFERROR(VLOOKUP(U11,пр.взв!$B$7:$H$22,2,0),"")</f>
        <v>АЮБОВ Андрей  Ферузович</v>
      </c>
      <c r="S11" s="324" t="str">
        <f>IFERROR(VLOOKUP(U11,пр.взв!$B$7:$H$22,3,0),"")</f>
        <v>05.005.2003, МС</v>
      </c>
      <c r="T11" s="324" t="str">
        <f>IFERROR(VLOOKUP(U11,пр.взв!$B$7:$H$22,5,0),"")</f>
        <v>ХМАО-Югра, Нижневартовск, МО</v>
      </c>
      <c r="U11" s="315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10"/>
      <c r="B12" s="312"/>
      <c r="C12" s="314"/>
      <c r="D12" s="314"/>
      <c r="E12" s="128"/>
      <c r="F12" s="249"/>
      <c r="G12" s="126"/>
      <c r="H12" s="135"/>
      <c r="I12" s="243"/>
      <c r="J12" s="370" t="s">
        <v>19</v>
      </c>
      <c r="K12" s="370"/>
      <c r="L12" s="370"/>
      <c r="M12" s="126"/>
      <c r="N12" s="133"/>
      <c r="O12" s="126"/>
      <c r="P12" s="241"/>
      <c r="Q12" s="128"/>
      <c r="R12" s="320"/>
      <c r="S12" s="320"/>
      <c r="T12" s="320"/>
      <c r="U12" s="305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10">
        <v>13</v>
      </c>
      <c r="B13" s="318" t="str">
        <f>IFERROR(VLOOKUP(A13,пр.взв!$B$7:$H$22,2,0),"")</f>
        <v>ТОРГАШОВ  Даниил Анатольевич</v>
      </c>
      <c r="C13" s="318" t="str">
        <f>IFERROR(VLOOKUP(A13,пр.взв!$B$7:$H$22,3,0),"")</f>
        <v>08.04.2001, КМС</v>
      </c>
      <c r="D13" s="320" t="str">
        <f>IFERROR(VLOOKUP(A13,пр.взв!$B$7:$H$22,5,0),"")</f>
        <v>Р.Татарстан, Казань</v>
      </c>
      <c r="E13" s="130"/>
      <c r="F13" s="126"/>
      <c r="G13" s="126"/>
      <c r="H13" s="135"/>
      <c r="I13" s="136"/>
      <c r="J13" s="137"/>
      <c r="K13" s="137"/>
      <c r="L13" s="243"/>
      <c r="M13" s="126"/>
      <c r="N13" s="133"/>
      <c r="O13" s="126"/>
      <c r="P13" s="126"/>
      <c r="Q13" s="130"/>
      <c r="R13" s="318" t="str">
        <f>IFERROR(VLOOKUP(U13,пр.взв!$B$7:$H$22,2,0),"")</f>
        <v xml:space="preserve">АБДУЛАЕВ  Шамил  Камилович </v>
      </c>
      <c r="S13" s="318" t="str">
        <f>IFERROR(VLOOKUP(U13,пр.взв!$B$7:$H$22,3,0),"")</f>
        <v>14.09.2001, КМС</v>
      </c>
      <c r="T13" s="318" t="str">
        <f>IFERROR(VLOOKUP(U13,пр.взв!$B$7:$H$22,5,0),"")</f>
        <v>Р.Дагестан, Махачкала, МС</v>
      </c>
      <c r="U13" s="305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17"/>
      <c r="B14" s="319"/>
      <c r="C14" s="319"/>
      <c r="D14" s="314"/>
      <c r="E14" s="132"/>
      <c r="F14" s="332"/>
      <c r="G14" s="332"/>
      <c r="H14" s="135"/>
      <c r="I14" s="128"/>
      <c r="J14" s="243"/>
      <c r="K14" s="243"/>
      <c r="L14" s="243"/>
      <c r="M14" s="128"/>
      <c r="N14" s="136"/>
      <c r="O14" s="126"/>
      <c r="P14" s="126"/>
      <c r="Q14" s="127"/>
      <c r="R14" s="319"/>
      <c r="S14" s="319"/>
      <c r="T14" s="319"/>
      <c r="U14" s="316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09">
        <v>3</v>
      </c>
      <c r="B15" s="311" t="str">
        <f>IFERROR(VLOOKUP(A15,пр.взв!$B$7:$H$22,2,0),"")</f>
        <v xml:space="preserve">КУЗНЕЦОВ Сергей Владимирович </v>
      </c>
      <c r="C15" s="313" t="str">
        <f>IFERROR(VLOOKUP(A15,пр.взв!$B$7:$H$22,3,0),"")</f>
        <v>14.04.1999, МС</v>
      </c>
      <c r="D15" s="313" t="str">
        <f>IFERROR(VLOOKUP(A15,пр.взв!$B$7:$H$22,5,0),"")</f>
        <v>Свердловская ,Верхняя Пышма, Д</v>
      </c>
      <c r="E15" s="124"/>
      <c r="F15" s="126"/>
      <c r="G15" s="126"/>
      <c r="H15" s="135"/>
      <c r="I15" s="130"/>
      <c r="J15" s="243"/>
      <c r="K15" s="243"/>
      <c r="L15" s="243"/>
      <c r="M15" s="130"/>
      <c r="N15" s="133"/>
      <c r="O15" s="126"/>
      <c r="P15" s="126"/>
      <c r="Q15" s="127"/>
      <c r="R15" s="324" t="str">
        <f>IFERROR(VLOOKUP(U15,пр.взв!$B$7:$H$22,2,0),"")</f>
        <v xml:space="preserve">ФАРГАТОВ Курбан Расимович </v>
      </c>
      <c r="S15" s="324" t="str">
        <f>IFERROR(VLOOKUP(U15,пр.взв!$B$7:$H$22,3,0),"")</f>
        <v>17.01.2000, КМС</v>
      </c>
      <c r="T15" s="324" t="str">
        <f>IFERROR(VLOOKUP(U15,пр.взв!$B$7:$H$22,5,0),"")</f>
        <v>Краснодарский, Курганинск, МС</v>
      </c>
      <c r="U15" s="304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10"/>
      <c r="B16" s="312"/>
      <c r="C16" s="314"/>
      <c r="D16" s="314"/>
      <c r="E16" s="128"/>
      <c r="F16" s="126"/>
      <c r="G16" s="126"/>
      <c r="H16" s="135"/>
      <c r="I16" s="243"/>
      <c r="J16" s="243"/>
      <c r="K16" s="243"/>
      <c r="L16" s="243"/>
      <c r="M16" s="126"/>
      <c r="N16" s="133"/>
      <c r="O16" s="126"/>
      <c r="P16" s="126"/>
      <c r="Q16" s="128"/>
      <c r="R16" s="320"/>
      <c r="S16" s="320"/>
      <c r="T16" s="320"/>
      <c r="U16" s="305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10">
        <v>11</v>
      </c>
      <c r="B17" s="318" t="str">
        <f>IFERROR(VLOOKUP(A17,пр.взв!$B$7:$H$22,2,0),"")</f>
        <v xml:space="preserve">МАНУКЯН Леван Гарикович </v>
      </c>
      <c r="C17" s="318" t="str">
        <f>IFERROR(VLOOKUP(A17,пр.взв!$B$7:$H$22,3,0),"")</f>
        <v>22.00.2002, МС</v>
      </c>
      <c r="D17" s="320" t="str">
        <f>IFERROR(VLOOKUP(A17,пр.взв!$B$7:$H$22,5,0),"")</f>
        <v>Краснодарский, Сочи, МО</v>
      </c>
      <c r="E17" s="130"/>
      <c r="F17" s="246"/>
      <c r="G17" s="126"/>
      <c r="H17" s="135"/>
      <c r="I17" s="243"/>
      <c r="J17" s="243"/>
      <c r="K17" s="243"/>
      <c r="L17" s="243"/>
      <c r="M17" s="126"/>
      <c r="N17" s="133"/>
      <c r="O17" s="126"/>
      <c r="P17" s="131"/>
      <c r="Q17" s="130"/>
      <c r="R17" s="318" t="str">
        <f>IFERROR(VLOOKUP(U17,пр.взв!$B$7:$H$22,2,0),"")</f>
        <v>ЕВСЕЕВ Дмитрий Александрович</v>
      </c>
      <c r="S17" s="318" t="str">
        <f>IFERROR(VLOOKUP(U17,пр.взв!$B$7:$H$22,3,0),"")</f>
        <v>25.09.2003, КМС</v>
      </c>
      <c r="T17" s="318" t="str">
        <f>IFERROR(VLOOKUP(U17,пр.взв!$B$7:$H$22,5,0),"")</f>
        <v>Свердловская, Екатеринбург, МО</v>
      </c>
      <c r="U17" s="305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17"/>
      <c r="B18" s="319"/>
      <c r="C18" s="319"/>
      <c r="D18" s="314"/>
      <c r="E18" s="132"/>
      <c r="F18" s="247"/>
      <c r="G18" s="128"/>
      <c r="H18" s="138"/>
      <c r="I18" s="125" t="s">
        <v>26</v>
      </c>
      <c r="J18" s="243"/>
      <c r="K18" s="243"/>
      <c r="L18" s="243"/>
      <c r="M18" s="126"/>
      <c r="N18" s="241"/>
      <c r="O18" s="128"/>
      <c r="P18" s="133"/>
      <c r="Q18" s="127"/>
      <c r="R18" s="319"/>
      <c r="S18" s="319"/>
      <c r="T18" s="319"/>
      <c r="U18" s="306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09">
        <v>7</v>
      </c>
      <c r="B19" s="311" t="str">
        <f>IFERROR(VLOOKUP(A19,пр.взв!$B$7:$H$22,2,0),"")</f>
        <v>МИШУНИН Аким Станиславович</v>
      </c>
      <c r="C19" s="313" t="str">
        <f>IFERROR(VLOOKUP(A19,пр.взв!$B$7:$H$22,3,0),"")</f>
        <v>14.01.2003, КМС</v>
      </c>
      <c r="D19" s="313" t="str">
        <f>IFERROR(VLOOKUP(A19,пр.взв!$B$7:$H$22,5,0),"")</f>
        <v>Москва, Москва, ВС</v>
      </c>
      <c r="E19" s="124"/>
      <c r="F19" s="139"/>
      <c r="G19" s="130"/>
      <c r="H19" s="129"/>
      <c r="I19" s="127"/>
      <c r="J19" s="127"/>
      <c r="K19" s="127"/>
      <c r="L19" s="127"/>
      <c r="M19" s="127"/>
      <c r="N19" s="126"/>
      <c r="O19" s="130"/>
      <c r="P19" s="133"/>
      <c r="Q19" s="127"/>
      <c r="R19" s="324" t="str">
        <f>IFERROR(VLOOKUP(U19,пр.взв!$B$7:$H$22,2,0),"")</f>
        <v>ЗИГАНШИН Эмиль Фаридович</v>
      </c>
      <c r="S19" s="324" t="str">
        <f>IFERROR(VLOOKUP(U19,пр.взв!$B$7:$H$22,3,0),"")</f>
        <v>18.03.2000, КМС</v>
      </c>
      <c r="T19" s="324" t="str">
        <f>IFERROR(VLOOKUP(U19,пр.взв!$B$7:$H$22,5,0),"")</f>
        <v>Р.Татарстан, Казань</v>
      </c>
      <c r="U19" s="322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10"/>
      <c r="B20" s="312"/>
      <c r="C20" s="314"/>
      <c r="D20" s="314"/>
      <c r="E20" s="128"/>
      <c r="F20" s="140"/>
      <c r="G20" s="132"/>
      <c r="H20" s="129" t="str">
        <f>AA29</f>
        <v/>
      </c>
      <c r="I20" s="378" t="str">
        <f>IFERROR(VLOOKUP(H20,пр.взв!$B$7:$I$22,2,0),"")</f>
        <v/>
      </c>
      <c r="J20" s="379"/>
      <c r="K20" s="379"/>
      <c r="L20" s="379"/>
      <c r="M20" s="380"/>
      <c r="N20" s="126"/>
      <c r="O20" s="126"/>
      <c r="P20" s="141"/>
      <c r="Q20" s="128"/>
      <c r="R20" s="320"/>
      <c r="S20" s="320"/>
      <c r="T20" s="320"/>
      <c r="U20" s="315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10">
        <v>15</v>
      </c>
      <c r="B21" s="318" t="str">
        <f>IFERROR(VLOOKUP(A21,пр.взв!$B$7:$H$22,2,0),"")</f>
        <v>РОГАЧЕВ Юрий Игоревич</v>
      </c>
      <c r="C21" s="318" t="str">
        <f>IFERROR(VLOOKUP(A21,пр.взв!$B$7:$H$22,3,0),"")</f>
        <v>15.06.2003, КМС</v>
      </c>
      <c r="D21" s="320" t="str">
        <f>IFERROR(VLOOKUP(A21,пр.взв!$B$7:$H$22,5,0),"")</f>
        <v>Московская, Дзержинсий, МО</v>
      </c>
      <c r="E21" s="130"/>
      <c r="F21" s="132"/>
      <c r="G21" s="132"/>
      <c r="H21" s="244"/>
      <c r="I21" s="381"/>
      <c r="J21" s="382"/>
      <c r="K21" s="382"/>
      <c r="L21" s="382"/>
      <c r="M21" s="383"/>
      <c r="N21" s="126"/>
      <c r="O21" s="126"/>
      <c r="P21" s="126"/>
      <c r="Q21" s="130"/>
      <c r="R21" s="318" t="str">
        <f>IFERROR(VLOOKUP(U21,пр.взв!$B$7:$H$22,2,0),"")</f>
        <v>КНЯЗЬКОВ Кирилл Сергеевич</v>
      </c>
      <c r="S21" s="318" t="str">
        <f>IFERROR(VLOOKUP(U21,пр.взв!$B$7:$H$22,3,0),"")</f>
        <v>20.07.2003, КМС</v>
      </c>
      <c r="T21" s="318" t="str">
        <f>IFERROR(VLOOKUP(U21,пр.взв!$B$7:$H$22,5,0),"")</f>
        <v>Москва, Москва, Д</v>
      </c>
      <c r="U21" s="316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17"/>
      <c r="B22" s="319"/>
      <c r="C22" s="319"/>
      <c r="D22" s="321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3"/>
      <c r="P22" s="243"/>
      <c r="Q22" s="127"/>
      <c r="R22" s="319"/>
      <c r="S22" s="319"/>
      <c r="T22" s="319"/>
      <c r="U22" s="323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50"/>
      <c r="D23" s="121"/>
      <c r="E23" s="143"/>
      <c r="F23" s="143"/>
      <c r="G23" s="143"/>
      <c r="H23" s="371" t="s">
        <v>24</v>
      </c>
      <c r="I23" s="371"/>
      <c r="J23" s="371"/>
      <c r="K23" s="371"/>
      <c r="L23" s="371"/>
      <c r="M23" s="371"/>
      <c r="N23" s="371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66</v>
      </c>
      <c r="Z24" s="117" t="s">
        <v>67</v>
      </c>
      <c r="AA24" s="180" t="s">
        <v>67</v>
      </c>
      <c r="AB24" s="112"/>
    </row>
    <row r="25" spans="1:29" ht="12.75" customHeight="1">
      <c r="A25" s="148" t="str">
        <f>Y29</f>
        <v xml:space="preserve"> </v>
      </c>
      <c r="B25" s="350" t="str">
        <f>IFERROR(VLOOKUP(A25,пр.взв!$B$7:$H$22,2,0),"")</f>
        <v/>
      </c>
      <c r="C25" s="110"/>
      <c r="D25" s="110"/>
      <c r="E25" s="110"/>
      <c r="F25" s="110"/>
      <c r="G25" s="110"/>
      <c r="H25" s="110"/>
      <c r="I25" s="149" t="str">
        <f>Y30</f>
        <v xml:space="preserve"> </v>
      </c>
      <c r="J25" s="344" t="str">
        <f>IFERROR(VLOOKUP(I25,пр.взв!$B$7:$H$22,2,0),"")</f>
        <v/>
      </c>
      <c r="K25" s="355"/>
      <c r="L25" s="356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 t="str">
        <f>IF(G10=""," ",IF(G10=E8,E12,E8))</f>
        <v xml:space="preserve"> </v>
      </c>
      <c r="Z25" s="117" t="str">
        <f>IF(A25=""," ",IF(A25=C26,A27,A25))</f>
        <v xml:space="preserve"> </v>
      </c>
      <c r="AA25" s="117" t="str">
        <f>IF(D29=""," ",IF(D29=E32,C35,D29))</f>
        <v xml:space="preserve"> </v>
      </c>
      <c r="AB25" s="112"/>
    </row>
    <row r="26" spans="1:29" ht="12.75" customHeight="1">
      <c r="A26" s="147"/>
      <c r="B26" s="352"/>
      <c r="C26" s="150"/>
      <c r="D26" s="151"/>
      <c r="E26" s="152"/>
      <c r="F26" s="152"/>
      <c r="G26" s="152"/>
      <c r="H26" s="152"/>
      <c r="I26" s="153"/>
      <c r="J26" s="357"/>
      <c r="K26" s="358"/>
      <c r="L26" s="359"/>
      <c r="M26" s="126"/>
      <c r="N26" s="151"/>
      <c r="O26" s="151"/>
      <c r="P26" s="151"/>
      <c r="Q26" s="151"/>
      <c r="R26" s="154"/>
      <c r="S26" s="151"/>
      <c r="T26" s="151"/>
      <c r="U26" s="147"/>
      <c r="V26" s="121"/>
      <c r="W26" s="110"/>
      <c r="X26" s="112"/>
      <c r="Y26" s="118" t="str">
        <f>IF(O10=""," ",IF(O10=Q8,Q12,Q8))</f>
        <v xml:space="preserve"> </v>
      </c>
      <c r="Z26" s="117" t="str">
        <f>IF(I25=""," ",IF(I25=M26,I27,I25))</f>
        <v xml:space="preserve"> </v>
      </c>
      <c r="AA26" s="117" t="str">
        <f>IF(N29=""," ",IF(N29=Q32,M35,N29))</f>
        <v xml:space="preserve"> </v>
      </c>
      <c r="AB26" s="112"/>
    </row>
    <row r="27" spans="1:29" ht="12.75" customHeight="1">
      <c r="A27" s="155" t="str">
        <f>Y25</f>
        <v xml:space="preserve"> </v>
      </c>
      <c r="B27" s="353" t="str">
        <f>IFERROR(VLOOKUP(A27,пр.взв!$B$7:$H$22,2,0),"")</f>
        <v/>
      </c>
      <c r="C27" s="156"/>
      <c r="D27" s="151"/>
      <c r="E27" s="157"/>
      <c r="F27" s="157"/>
      <c r="G27" s="157"/>
      <c r="H27" s="157"/>
      <c r="I27" s="158" t="str">
        <f>Y26</f>
        <v xml:space="preserve"> </v>
      </c>
      <c r="J27" s="372" t="str">
        <f>IFERROR(VLOOKUP(I27,пр.взв!$B$7:$H$22,2,0),"")</f>
        <v/>
      </c>
      <c r="K27" s="373"/>
      <c r="L27" s="374"/>
      <c r="M27" s="156"/>
      <c r="N27" s="125"/>
      <c r="O27" s="125"/>
      <c r="P27" s="125"/>
      <c r="Q27" s="125"/>
      <c r="R27" s="151"/>
      <c r="S27" s="151"/>
      <c r="T27" s="151"/>
      <c r="U27" s="121"/>
      <c r="V27" s="121"/>
      <c r="W27" s="110"/>
      <c r="X27" s="112"/>
      <c r="Y27" s="118" t="str">
        <f>IF(G18=""," ",IF(G18=E16,E20,E16))</f>
        <v xml:space="preserve"> </v>
      </c>
      <c r="Z27" s="117" t="str">
        <f>IF(A31=""," ",IF(A31=C32,A33,A31))</f>
        <v xml:space="preserve"> </v>
      </c>
      <c r="AA27" s="117" t="str">
        <f>IF(C32=""," ",IF(C32=D29,C26,C32))</f>
        <v xml:space="preserve"> </v>
      </c>
      <c r="AB27" s="112"/>
    </row>
    <row r="28" spans="1:29" ht="12.75" customHeight="1" thickBot="1">
      <c r="A28" s="155"/>
      <c r="B28" s="354"/>
      <c r="C28" s="159"/>
      <c r="D28" s="151"/>
      <c r="E28" s="125"/>
      <c r="F28" s="125"/>
      <c r="G28" s="157"/>
      <c r="H28" s="157"/>
      <c r="I28" s="158"/>
      <c r="J28" s="375"/>
      <c r="K28" s="376"/>
      <c r="L28" s="377"/>
      <c r="M28" s="159"/>
      <c r="N28" s="125"/>
      <c r="O28" s="125"/>
      <c r="P28" s="125"/>
      <c r="Q28" s="125"/>
      <c r="R28" s="151"/>
      <c r="S28" s="160"/>
      <c r="T28" s="151"/>
      <c r="U28" s="121"/>
      <c r="V28" s="121"/>
      <c r="W28" s="110"/>
      <c r="X28" s="112"/>
      <c r="Y28" s="118" t="str">
        <f>IF(O18=""," ",IF(O18=Q16,Q20,Q16))</f>
        <v xml:space="preserve"> </v>
      </c>
      <c r="Z28" s="117" t="str">
        <f>IF(I31=""," ",IF(I31=M32,I33,I31))</f>
        <v xml:space="preserve"> </v>
      </c>
      <c r="AA28" s="117" t="str">
        <f>IF(M32=""," ",IF(M32=N29,M26,M32))</f>
        <v xml:space="preserve"> </v>
      </c>
      <c r="AB28" s="112"/>
    </row>
    <row r="29" spans="1:29" ht="12.75" customHeight="1">
      <c r="A29" s="155"/>
      <c r="B29" s="161"/>
      <c r="C29" s="159"/>
      <c r="D29" s="126"/>
      <c r="E29" s="125"/>
      <c r="F29" s="125"/>
      <c r="G29" s="157"/>
      <c r="H29" s="157"/>
      <c r="I29" s="158"/>
      <c r="J29" s="244"/>
      <c r="K29" s="161"/>
      <c r="L29" s="162"/>
      <c r="M29" s="159"/>
      <c r="N29" s="366"/>
      <c r="O29" s="367"/>
      <c r="P29" s="367"/>
      <c r="Q29" s="125"/>
      <c r="R29" s="151"/>
      <c r="S29" s="151"/>
      <c r="T29" s="151"/>
      <c r="U29" s="121"/>
      <c r="V29" s="121"/>
      <c r="W29" s="110"/>
      <c r="X29" s="112"/>
      <c r="Y29" s="118" t="str">
        <f>IF(G10=""," ",IF(G10=A7,A9,IF(G10=A9,A7,IF(G10=A11,A13,A11))))</f>
        <v xml:space="preserve"> </v>
      </c>
      <c r="Z29" s="117">
        <f>IF(AND(OR(A7=G10,A9=G10),A11=E12),A13,IF(AND(OR(A7=G10,A9=G10),A13=E12),A11,IF(A7=E8,A9,A7)))</f>
        <v>1</v>
      </c>
      <c r="AA29" s="117" t="str">
        <f>IF(H8="","",IF(H8=I14,M14,I14))</f>
        <v/>
      </c>
      <c r="AB29" s="112"/>
    </row>
    <row r="30" spans="1:29" ht="12.75" customHeight="1" thickBot="1">
      <c r="A30" s="155"/>
      <c r="B30" s="163"/>
      <c r="C30" s="159"/>
      <c r="D30" s="156"/>
      <c r="E30" s="125"/>
      <c r="F30" s="110" t="s">
        <v>42</v>
      </c>
      <c r="G30" s="157"/>
      <c r="H30" s="157"/>
      <c r="I30" s="158"/>
      <c r="J30" s="244"/>
      <c r="K30" s="163"/>
      <c r="L30" s="162"/>
      <c r="M30" s="159"/>
      <c r="N30" s="125"/>
      <c r="O30" s="164"/>
      <c r="P30" s="165"/>
      <c r="Q30" s="125"/>
      <c r="R30" s="110" t="s">
        <v>42</v>
      </c>
      <c r="S30" s="151"/>
      <c r="T30" s="151"/>
      <c r="U30" s="121"/>
      <c r="V30" s="121"/>
      <c r="W30" s="110"/>
      <c r="X30" s="112"/>
      <c r="Y30" s="118" t="str">
        <f>IF(O10=""," ",IF(O10=U7,U9,IF(O10=U9,U7,IF(O10=U11,U13,U11))))</f>
        <v xml:space="preserve"> </v>
      </c>
      <c r="Z30" s="117">
        <f>IF(AND(U7=O10,U11=Q12),U13,IF(AND(U7=O10,U13=Q12),U11,IF(AND(U9=O10,U11=Q12),U13,IF(AND(U9=O10,U13=Q12),U11,IF(U7=Q8,U9,U7)))))</f>
        <v>2</v>
      </c>
      <c r="AA30" s="117"/>
      <c r="AB30" s="112"/>
    </row>
    <row r="31" spans="1:29" ht="13.5" thickBot="1">
      <c r="A31" s="166" t="str">
        <f>Y31</f>
        <v xml:space="preserve"> </v>
      </c>
      <c r="B31" s="350" t="str">
        <f>IFERROR(VLOOKUP(A31,пр.взв!$B$7:$H$22,2,0),"")</f>
        <v/>
      </c>
      <c r="C31" s="167"/>
      <c r="D31" s="168"/>
      <c r="E31" s="129"/>
      <c r="F31" s="125"/>
      <c r="G31" s="125"/>
      <c r="H31" s="125"/>
      <c r="I31" s="169" t="str">
        <f>Y32</f>
        <v xml:space="preserve"> </v>
      </c>
      <c r="J31" s="344" t="str">
        <f>IFERROR(VLOOKUP(I31,пр.взв!$B$7:$H$22,2,0),"")</f>
        <v/>
      </c>
      <c r="K31" s="355"/>
      <c r="L31" s="356"/>
      <c r="M31" s="167"/>
      <c r="N31" s="125"/>
      <c r="O31" s="125"/>
      <c r="P31" s="170"/>
      <c r="Q31" s="125"/>
      <c r="R31" s="151"/>
      <c r="S31" s="151"/>
      <c r="T31" s="151"/>
      <c r="U31" s="121"/>
      <c r="V31" s="121"/>
      <c r="W31" s="110"/>
      <c r="X31" s="112"/>
      <c r="Y31" s="118" t="str">
        <f>IF(G18=""," ",IF(G18=A15,A17,IF(G18=A17,A15,IF(G18=A19,A21,A19))))</f>
        <v xml:space="preserve"> </v>
      </c>
      <c r="Z31" s="117">
        <f>IF(AND(OR(A15=G18,A17=G18),A19=E20),A21,IF(AND(OR(A15=G18,A17=G18),A21=E20),A19,IF(A15=E16,A17,A15)))</f>
        <v>3</v>
      </c>
      <c r="AA31" s="117"/>
      <c r="AB31" s="112"/>
    </row>
    <row r="32" spans="1:29" ht="13.5" customHeight="1">
      <c r="A32" s="166"/>
      <c r="B32" s="352"/>
      <c r="C32" s="171"/>
      <c r="D32" s="168"/>
      <c r="E32" s="242"/>
      <c r="F32" s="360" t="str">
        <f>IFERROR(VLOOKUP(E32,пр.взв!$B$7:$H$22,2,0),"")</f>
        <v/>
      </c>
      <c r="G32" s="361"/>
      <c r="H32" s="362"/>
      <c r="I32" s="172"/>
      <c r="J32" s="357"/>
      <c r="K32" s="358"/>
      <c r="L32" s="359"/>
      <c r="M32" s="171"/>
      <c r="N32" s="173"/>
      <c r="O32" s="173"/>
      <c r="P32" s="170"/>
      <c r="Q32" s="242"/>
      <c r="R32" s="368" t="str">
        <f>IFERROR(VLOOKUP(Q32,пр.взв!$B$7:$H$22,2,0),"")</f>
        <v/>
      </c>
      <c r="S32" s="173"/>
      <c r="T32" s="173"/>
      <c r="U32" s="173"/>
      <c r="V32" s="121"/>
      <c r="W32" s="110"/>
      <c r="X32" s="112"/>
      <c r="Y32" s="118" t="str">
        <f>IF(O18=""," ",IF(O18=U15,U17,IF(O18=U17,U15,IF(O18=U19,U21,U19))))</f>
        <v xml:space="preserve"> </v>
      </c>
      <c r="Z32" s="117">
        <f>IF(AND(U15=O18,U19=Q20),U21,IF(AND(U15=O18,U21=Q20),U19,IF(AND(U17=O18,U19=Q20),U21,IF(AND(U17=O18,U21=Q20),U19,IF(U15=Q16,U17,U15)))))</f>
        <v>4</v>
      </c>
      <c r="AA32" s="117"/>
      <c r="AB32" s="112"/>
    </row>
    <row r="33" spans="1:28" ht="13.5" customHeight="1" thickBot="1">
      <c r="A33" s="166" t="str">
        <f>Y27</f>
        <v xml:space="preserve"> </v>
      </c>
      <c r="B33" s="353" t="str">
        <f>IFERROR(VLOOKUP(A33,пр.взв!$B$7:$H$22,2,0),"")</f>
        <v/>
      </c>
      <c r="C33" s="164"/>
      <c r="D33" s="168"/>
      <c r="E33" s="174"/>
      <c r="F33" s="363"/>
      <c r="G33" s="364"/>
      <c r="H33" s="365"/>
      <c r="I33" s="175" t="str">
        <f>Y28</f>
        <v xml:space="preserve"> </v>
      </c>
      <c r="J33" s="372" t="str">
        <f>IFERROR(VLOOKUP(I33,пр.взв!$B$7:$H$22,2,0),"")</f>
        <v/>
      </c>
      <c r="K33" s="373"/>
      <c r="L33" s="374"/>
      <c r="M33" s="176"/>
      <c r="N33" s="173"/>
      <c r="O33" s="173"/>
      <c r="P33" s="170"/>
      <c r="Q33" s="164"/>
      <c r="R33" s="369"/>
      <c r="S33" s="173"/>
      <c r="T33" s="173"/>
      <c r="U33" s="173"/>
      <c r="V33" s="121"/>
      <c r="W33" s="110"/>
      <c r="X33" s="112"/>
      <c r="Y33" s="116" t="str">
        <f>IF(I14="","",IF(G10=I14,G18,G10))</f>
        <v/>
      </c>
      <c r="Z33" s="112"/>
      <c r="AA33" s="112"/>
      <c r="AB33" s="112"/>
    </row>
    <row r="34" spans="1:28" ht="13.5" customHeight="1" thickBot="1">
      <c r="A34" s="251"/>
      <c r="B34" s="354"/>
      <c r="C34" s="151"/>
      <c r="D34" s="168"/>
      <c r="E34" s="125"/>
      <c r="F34" s="125"/>
      <c r="G34" s="125"/>
      <c r="H34" s="125"/>
      <c r="I34" s="175"/>
      <c r="J34" s="375"/>
      <c r="K34" s="376"/>
      <c r="L34" s="377"/>
      <c r="M34" s="125"/>
      <c r="N34" s="125"/>
      <c r="O34" s="125"/>
      <c r="P34" s="170"/>
      <c r="Q34" s="125"/>
      <c r="R34" s="151"/>
      <c r="S34" s="151"/>
      <c r="T34" s="151"/>
      <c r="U34" s="121"/>
      <c r="V34" s="121"/>
      <c r="W34" s="110"/>
      <c r="X34" s="112"/>
      <c r="Y34" s="116" t="str">
        <f>IF(M14="","",IF(O10=M14,O18,O10))</f>
        <v/>
      </c>
      <c r="Z34" s="112"/>
      <c r="AA34" s="112"/>
      <c r="AB34" s="112"/>
    </row>
    <row r="35" spans="1:28">
      <c r="A35" s="121"/>
      <c r="B35" s="151"/>
      <c r="C35" s="169" t="str">
        <f>Y34</f>
        <v/>
      </c>
      <c r="D35" s="350" t="str">
        <f>IFERROR(VLOOKUP(C35,пр.взв!$B$7:$H$22,2,0),"")</f>
        <v/>
      </c>
      <c r="E35" s="125"/>
      <c r="F35" s="125"/>
      <c r="G35" s="125"/>
      <c r="H35" s="125"/>
      <c r="I35" s="129"/>
      <c r="J35" s="157"/>
      <c r="K35" s="125"/>
      <c r="L35" s="125"/>
      <c r="M35" s="169" t="str">
        <f>Y33</f>
        <v/>
      </c>
      <c r="N35" s="344" t="str">
        <f>IFERROR(VLOOKUP(M35,пр.взв!$B$7:$H$22,2,0),"")</f>
        <v/>
      </c>
      <c r="O35" s="345"/>
      <c r="P35" s="346"/>
      <c r="Q35" s="125"/>
      <c r="R35" s="151"/>
      <c r="S35" s="151"/>
      <c r="T35" s="151"/>
      <c r="U35" s="121"/>
      <c r="V35" s="121"/>
      <c r="W35" s="110"/>
      <c r="X35" s="112"/>
      <c r="Y35" s="112"/>
      <c r="Z35" s="112"/>
      <c r="AA35" s="112"/>
      <c r="AB35" s="112"/>
    </row>
    <row r="36" spans="1:28" ht="13.5" thickBot="1">
      <c r="A36" s="110"/>
      <c r="B36" s="151"/>
      <c r="C36" s="181"/>
      <c r="D36" s="351"/>
      <c r="E36" s="125"/>
      <c r="F36" s="125"/>
      <c r="G36" s="125"/>
      <c r="H36" s="125"/>
      <c r="I36" s="125"/>
      <c r="J36" s="157"/>
      <c r="K36" s="125"/>
      <c r="L36" s="125"/>
      <c r="M36" s="125"/>
      <c r="N36" s="347"/>
      <c r="O36" s="348"/>
      <c r="P36" s="349"/>
      <c r="Q36" s="125"/>
      <c r="R36" s="151"/>
      <c r="S36" s="151"/>
      <c r="T36" s="151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52"/>
      <c r="B37" s="253"/>
      <c r="C37" s="253"/>
      <c r="D37" s="254"/>
      <c r="E37" s="255"/>
      <c r="F37" s="255"/>
      <c r="G37" s="255"/>
      <c r="H37" s="256"/>
      <c r="I37" s="256"/>
      <c r="J37" s="256"/>
      <c r="K37" s="255"/>
      <c r="L37" s="255"/>
      <c r="M37" s="255"/>
      <c r="N37" s="255"/>
      <c r="O37" s="255"/>
      <c r="P37" s="255"/>
      <c r="Q37" s="255"/>
      <c r="R37" s="253"/>
      <c r="S37" s="253"/>
      <c r="T37" s="253"/>
      <c r="U37" s="253"/>
      <c r="V37" s="253"/>
      <c r="W37" s="110"/>
      <c r="X37" s="112"/>
      <c r="Y37" s="112"/>
      <c r="Z37" s="112"/>
      <c r="AA37" s="112"/>
      <c r="AB37" s="112"/>
    </row>
    <row r="38" spans="1:28" ht="16.5">
      <c r="A38" s="343" t="str">
        <f>[1]реквизиты!$A$6</f>
        <v>Гл. судья, судья ВК</v>
      </c>
      <c r="B38" s="343"/>
      <c r="C38" s="343"/>
      <c r="D38" s="110"/>
      <c r="E38" s="257"/>
      <c r="F38" s="257"/>
      <c r="G38" s="258"/>
      <c r="H38" s="110"/>
      <c r="I38" s="110"/>
      <c r="J38" s="259" t="str">
        <f>[1]реквизиты!$G$6</f>
        <v>С.В.Пегасов</v>
      </c>
      <c r="K38" s="86"/>
      <c r="L38" s="4"/>
      <c r="M38" s="4"/>
      <c r="N38" s="260" t="str">
        <f>[1]реквизиты!$G$7</f>
        <v>/г.Чебоксары/</v>
      </c>
      <c r="O38" s="261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1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6.5">
      <c r="A40" s="262" t="str">
        <f>[1]реквизиты!$A$8</f>
        <v>Гл. секретарь, судья ВК</v>
      </c>
      <c r="B40" s="178"/>
      <c r="C40" s="179"/>
      <c r="D40" s="263"/>
      <c r="E40" s="264"/>
      <c r="F40" s="258"/>
      <c r="G40" s="258"/>
      <c r="H40" s="121"/>
      <c r="I40" s="121"/>
      <c r="J40" s="259" t="str">
        <f>[1]реквизиты!$G$8</f>
        <v>М.Р. Шарифзянов</v>
      </c>
      <c r="K40" s="86"/>
      <c r="L40" s="212"/>
      <c r="M40" s="212"/>
      <c r="N40" s="303" t="str">
        <f>[1]реквизиты!$G$9</f>
        <v>/Казань/</v>
      </c>
      <c r="O40" s="303"/>
      <c r="P40" s="303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">
      <c r="A41" s="110"/>
      <c r="B41" s="110"/>
      <c r="C41" s="110"/>
      <c r="D41" s="177"/>
      <c r="E41" s="177"/>
      <c r="F41" s="177"/>
      <c r="G41" s="263"/>
      <c r="H41" s="263"/>
      <c r="I41" s="121"/>
      <c r="Q41" s="121"/>
      <c r="R41" s="245"/>
      <c r="S41" s="127"/>
      <c r="T41" s="127"/>
      <c r="U41" s="110"/>
      <c r="V41" s="110"/>
      <c r="W41" s="110"/>
      <c r="X41" s="112"/>
    </row>
    <row r="42" spans="1:28" ht="15">
      <c r="D42" s="63"/>
      <c r="E42" s="63"/>
      <c r="F42" s="64"/>
      <c r="G42" s="211"/>
      <c r="H42" s="211"/>
      <c r="I42" s="4"/>
      <c r="J42" s="4"/>
      <c r="K42" s="4"/>
      <c r="L42" s="4"/>
      <c r="M42" s="59"/>
      <c r="N42" s="59"/>
      <c r="O42" s="59"/>
      <c r="P42" s="59"/>
      <c r="Q42" s="21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90</v>
      </c>
      <c r="C44" s="49"/>
      <c r="D44" s="63"/>
      <c r="E44" s="63"/>
      <c r="F44" s="63"/>
      <c r="G44" s="86"/>
      <c r="H44" s="86"/>
      <c r="M44" s="265" t="s">
        <v>90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topLeftCell="D1" workbookViewId="0">
      <selection activeCell="L1" sqref="L1:T22"/>
    </sheetView>
  </sheetViews>
  <sheetFormatPr defaultRowHeight="12.75"/>
  <cols>
    <col min="1" max="2" width="4.140625" customWidth="1"/>
    <col min="3" max="3" width="22.7109375" customWidth="1"/>
    <col min="5" max="5" width="8.28515625" customWidth="1"/>
    <col min="6" max="6" width="10.140625" customWidth="1"/>
    <col min="7" max="7" width="21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customWidth="1"/>
    <col min="16" max="16" width="11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49" t="s">
        <v>37</v>
      </c>
      <c r="C1" s="449"/>
      <c r="D1" s="449"/>
      <c r="E1" s="449"/>
      <c r="F1" s="449"/>
      <c r="G1" s="449"/>
      <c r="H1" s="449"/>
      <c r="I1" s="449"/>
      <c r="J1" s="449"/>
      <c r="L1" s="449" t="s">
        <v>37</v>
      </c>
      <c r="M1" s="449"/>
      <c r="N1" s="449"/>
      <c r="O1" s="449"/>
      <c r="P1" s="449"/>
      <c r="Q1" s="449"/>
      <c r="R1" s="449"/>
      <c r="S1" s="449"/>
      <c r="T1" s="449"/>
    </row>
    <row r="2" spans="1:20" ht="15.75" customHeight="1">
      <c r="B2" s="450" t="str">
        <f>пр.взв!D4</f>
        <v>В.к. 98 кг.</v>
      </c>
      <c r="C2" s="451"/>
      <c r="D2" s="451"/>
      <c r="E2" s="451"/>
      <c r="F2" s="451"/>
      <c r="G2" s="451"/>
      <c r="H2" s="451"/>
      <c r="I2" s="451"/>
      <c r="J2" s="451"/>
      <c r="L2" s="450" t="str">
        <f>B2</f>
        <v>В.к. 98 кг.</v>
      </c>
      <c r="M2" s="451"/>
      <c r="N2" s="451"/>
      <c r="O2" s="451"/>
      <c r="P2" s="451"/>
      <c r="Q2" s="451"/>
      <c r="R2" s="451"/>
      <c r="S2" s="451"/>
      <c r="T2" s="451"/>
    </row>
    <row r="3" spans="1:20">
      <c r="B3">
        <v>2</v>
      </c>
      <c r="C3" s="5" t="s">
        <v>92</v>
      </c>
      <c r="L3">
        <v>3</v>
      </c>
      <c r="M3" s="5" t="s">
        <v>92</v>
      </c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14" t="s">
        <v>39</v>
      </c>
      <c r="B5" s="452" t="s">
        <v>4</v>
      </c>
      <c r="C5" s="418" t="s">
        <v>5</v>
      </c>
      <c r="D5" s="422" t="s">
        <v>12</v>
      </c>
      <c r="E5" s="390" t="s">
        <v>13</v>
      </c>
      <c r="F5" s="391"/>
      <c r="G5" s="418" t="s">
        <v>14</v>
      </c>
      <c r="H5" s="437" t="s">
        <v>40</v>
      </c>
      <c r="I5" s="409" t="s">
        <v>15</v>
      </c>
      <c r="J5" s="411" t="s">
        <v>16</v>
      </c>
      <c r="K5" s="414" t="s">
        <v>39</v>
      </c>
      <c r="L5" s="452" t="s">
        <v>4</v>
      </c>
      <c r="M5" s="418" t="s">
        <v>5</v>
      </c>
      <c r="N5" s="422" t="s">
        <v>12</v>
      </c>
      <c r="O5" s="390" t="s">
        <v>13</v>
      </c>
      <c r="P5" s="391"/>
      <c r="Q5" s="418" t="s">
        <v>14</v>
      </c>
      <c r="R5" s="437" t="s">
        <v>40</v>
      </c>
      <c r="S5" s="409" t="s">
        <v>15</v>
      </c>
      <c r="T5" s="411" t="s">
        <v>16</v>
      </c>
    </row>
    <row r="6" spans="1:20" ht="13.5" customHeight="1" thickBot="1">
      <c r="A6" s="415"/>
      <c r="B6" s="453" t="s">
        <v>33</v>
      </c>
      <c r="C6" s="419"/>
      <c r="D6" s="423"/>
      <c r="E6" s="392"/>
      <c r="F6" s="393"/>
      <c r="G6" s="419"/>
      <c r="H6" s="438"/>
      <c r="I6" s="410"/>
      <c r="J6" s="412" t="s">
        <v>34</v>
      </c>
      <c r="K6" s="415"/>
      <c r="L6" s="453" t="s">
        <v>33</v>
      </c>
      <c r="M6" s="419"/>
      <c r="N6" s="423"/>
      <c r="O6" s="392"/>
      <c r="P6" s="393"/>
      <c r="Q6" s="419"/>
      <c r="R6" s="438"/>
      <c r="S6" s="410"/>
      <c r="T6" s="412" t="s">
        <v>34</v>
      </c>
    </row>
    <row r="7" spans="1:20" ht="12.75" customHeight="1">
      <c r="A7" s="424">
        <v>1</v>
      </c>
      <c r="B7" s="454">
        <v>1</v>
      </c>
      <c r="C7" s="399" t="str">
        <f>VLOOKUP(B7,пр.взв!B$7:E$22,2,FALSE)</f>
        <v>НЕКАЗАКОВ  Сергей Сергеевич</v>
      </c>
      <c r="D7" s="384" t="str">
        <f>VLOOKUP(B7,пр.взв!B$7:E$22,3,FALSE)</f>
        <v>20.10.2000, КМС</v>
      </c>
      <c r="E7" s="385" t="str">
        <f>VLOOKUP(B7,пр.взв!B$7:E$22,4,FALSE)</f>
        <v>ЦФО</v>
      </c>
      <c r="F7" s="385" t="str">
        <f>VLOOKUP(B7,пр.взв!B$7:F$22,5,FALSE)</f>
        <v>Воронежская, Воронеж, Д</v>
      </c>
      <c r="G7" s="444"/>
      <c r="H7" s="445"/>
      <c r="I7" s="441"/>
      <c r="J7" s="442"/>
      <c r="K7" s="424">
        <v>5</v>
      </c>
      <c r="L7" s="454">
        <v>2</v>
      </c>
      <c r="M7" s="456" t="str">
        <f>VLOOKUP(L7,пр.взв!B$7:F$22,2,FALSE)</f>
        <v xml:space="preserve">ОСИПОВ  Егор Дмитриевич </v>
      </c>
      <c r="N7" s="385" t="str">
        <f>VLOOKUP(L7,пр.взв!B$7:F$22,3,FALSE)</f>
        <v>05.07.2001, КМС</v>
      </c>
      <c r="O7" s="385" t="str">
        <f>VLOOKUP(L7,пр.взв!B$7:F$22,4,FALSE)</f>
        <v>ЦФО</v>
      </c>
      <c r="P7" s="385" t="str">
        <f>VLOOKUP(L7,пр.взв!B$7:F$22,5,FALSE)</f>
        <v>Рязанская, Рязань</v>
      </c>
      <c r="Q7" s="444"/>
      <c r="R7" s="445"/>
      <c r="S7" s="441"/>
      <c r="T7" s="442"/>
    </row>
    <row r="8" spans="1:20" ht="12.75" customHeight="1">
      <c r="A8" s="425"/>
      <c r="B8" s="428"/>
      <c r="C8" s="455"/>
      <c r="D8" s="385"/>
      <c r="E8" s="430"/>
      <c r="F8" s="430"/>
      <c r="G8" s="430"/>
      <c r="H8" s="430"/>
      <c r="I8" s="432"/>
      <c r="J8" s="284"/>
      <c r="K8" s="425"/>
      <c r="L8" s="428"/>
      <c r="M8" s="457"/>
      <c r="N8" s="430"/>
      <c r="O8" s="430"/>
      <c r="P8" s="430"/>
      <c r="Q8" s="430"/>
      <c r="R8" s="430"/>
      <c r="S8" s="432"/>
      <c r="T8" s="284"/>
    </row>
    <row r="9" spans="1:20" ht="12.75" customHeight="1">
      <c r="A9" s="425"/>
      <c r="B9" s="428">
        <v>9</v>
      </c>
      <c r="C9" s="406" t="str">
        <f>VLOOKUP(B9,пр.взв!B$7:E$22,2,FALSE)</f>
        <v>ПОДГОРНЫЙ АРТЕМ АНДРЕЕВИЧ</v>
      </c>
      <c r="D9" s="394" t="str">
        <f>VLOOKUP(B9,пр.взв!B$7:E$22,3,FALSE)</f>
        <v>27.01.2000, КМС</v>
      </c>
      <c r="E9" s="394" t="str">
        <f>VLOOKUP(B9,пр.взв!B$7:E$22,4,FALSE)</f>
        <v>СПБ</v>
      </c>
      <c r="F9" s="394" t="str">
        <f>VLOOKUP(B9,пр.взв!B$7:F$22,5,FALSE)</f>
        <v>Санкт-Петербург, МО</v>
      </c>
      <c r="G9" s="439"/>
      <c r="H9" s="439"/>
      <c r="I9" s="285"/>
      <c r="J9" s="285"/>
      <c r="K9" s="425"/>
      <c r="L9" s="428">
        <v>10</v>
      </c>
      <c r="M9" s="406" t="str">
        <f>VLOOKUP(L9,пр.взв!B$7:F$22,2,FALSE)</f>
        <v>ХОЛОДЕЛЬЩИКОВ Михаил Валерьевич</v>
      </c>
      <c r="N9" s="394" t="str">
        <f>VLOOKUP(L9,пр.взв!B$7:F$22,3,FALSE)</f>
        <v>29.07.2002, КМС</v>
      </c>
      <c r="O9" s="394" t="str">
        <f>VLOOKUP(L9,пр.взв!B$7:F$22,4,FALSE)</f>
        <v>ПФО</v>
      </c>
      <c r="P9" s="394" t="str">
        <f>VLOOKUP(L9,пр.взв!B$7:F$22,5,FALSE)</f>
        <v>Саратовская, Саратов</v>
      </c>
      <c r="Q9" s="439"/>
      <c r="R9" s="439"/>
      <c r="S9" s="285"/>
      <c r="T9" s="285"/>
    </row>
    <row r="10" spans="1:20" ht="13.5" customHeight="1" thickBot="1">
      <c r="A10" s="426"/>
      <c r="B10" s="434"/>
      <c r="C10" s="407"/>
      <c r="D10" s="395"/>
      <c r="E10" s="395"/>
      <c r="F10" s="395"/>
      <c r="G10" s="440"/>
      <c r="H10" s="440"/>
      <c r="I10" s="443"/>
      <c r="J10" s="443"/>
      <c r="K10" s="426"/>
      <c r="L10" s="434"/>
      <c r="M10" s="407"/>
      <c r="N10" s="395"/>
      <c r="O10" s="395"/>
      <c r="P10" s="395"/>
      <c r="Q10" s="440"/>
      <c r="R10" s="440"/>
      <c r="S10" s="443"/>
      <c r="T10" s="443"/>
    </row>
    <row r="11" spans="1:20" ht="12.75" customHeight="1">
      <c r="A11" s="424">
        <v>2</v>
      </c>
      <c r="B11" s="458">
        <v>5</v>
      </c>
      <c r="C11" s="398" t="str">
        <f>VLOOKUP(B11,пр.взв!B$7:E$22,2,FALSE)</f>
        <v>ВЕСЕЛОВ  Андрей  Андреевич</v>
      </c>
      <c r="D11" s="384" t="str">
        <f>VLOOKUP(B11,пр.взв!B$7:E$22,3,FALSE)</f>
        <v>19.04.2001, МС</v>
      </c>
      <c r="E11" s="384" t="str">
        <f>VLOOKUP(B11,пр.взв!B$7:E$22,4,FALSE)</f>
        <v>ПФО</v>
      </c>
      <c r="F11" s="384" t="str">
        <f>VLOOKUP(B11,пр.взв!B$7:F$22,5,FALSE)</f>
        <v>Нижегородская, Кстово, ЦСКА</v>
      </c>
      <c r="G11" s="435"/>
      <c r="H11" s="429"/>
      <c r="I11" s="431"/>
      <c r="J11" s="436"/>
      <c r="K11" s="424">
        <v>6</v>
      </c>
      <c r="L11" s="454">
        <v>6</v>
      </c>
      <c r="M11" s="398" t="str">
        <f>VLOOKUP(L11,пр.взв!B$7:F$22,2,FALSE)</f>
        <v>АЮБОВ Андрей  Ферузович</v>
      </c>
      <c r="N11" s="384" t="str">
        <f>VLOOKUP(L11,пр.взв!B$7:F$22,3,FALSE)</f>
        <v>05.005.2003, МС</v>
      </c>
      <c r="O11" s="384" t="str">
        <f>VLOOKUP(L11,пр.взв!B$7:F$22,4,FALSE)</f>
        <v>УФО</v>
      </c>
      <c r="P11" s="384" t="str">
        <f>VLOOKUP(L11,пр.взв!B$7:F$22,5,FALSE)</f>
        <v>ХМАО-Югра, Нижневартовск, МО</v>
      </c>
      <c r="Q11" s="435"/>
      <c r="R11" s="429"/>
      <c r="S11" s="431"/>
      <c r="T11" s="436"/>
    </row>
    <row r="12" spans="1:20" ht="12.75" customHeight="1">
      <c r="A12" s="425"/>
      <c r="B12" s="428"/>
      <c r="C12" s="399"/>
      <c r="D12" s="385"/>
      <c r="E12" s="385"/>
      <c r="F12" s="385"/>
      <c r="G12" s="430"/>
      <c r="H12" s="430"/>
      <c r="I12" s="432"/>
      <c r="J12" s="284"/>
      <c r="K12" s="425"/>
      <c r="L12" s="428"/>
      <c r="M12" s="399"/>
      <c r="N12" s="385"/>
      <c r="O12" s="385"/>
      <c r="P12" s="385"/>
      <c r="Q12" s="430"/>
      <c r="R12" s="430"/>
      <c r="S12" s="432"/>
      <c r="T12" s="284"/>
    </row>
    <row r="13" spans="1:20" ht="12.75" customHeight="1">
      <c r="A13" s="425"/>
      <c r="B13" s="428">
        <v>13</v>
      </c>
      <c r="C13" s="406" t="str">
        <f>VLOOKUP(B13,пр.взв!B$7:E$22,2,FALSE)</f>
        <v>ТОРГАШОВ  Даниил Анатольевич</v>
      </c>
      <c r="D13" s="394" t="str">
        <f>VLOOKUP(B13,пр.взв!B$7:E$22,3,FALSE)</f>
        <v>08.04.2001, КМС</v>
      </c>
      <c r="E13" s="394" t="str">
        <f>VLOOKUP(B13,пр.взв!B$7:E$22,4,FALSE)</f>
        <v>ПФО</v>
      </c>
      <c r="F13" s="394" t="str">
        <f>VLOOKUP(B13,пр.взв!B$7:F$22,5,FALSE)</f>
        <v>Р.Татарстан, Казань</v>
      </c>
      <c r="G13" s="439"/>
      <c r="H13" s="439"/>
      <c r="I13" s="285"/>
      <c r="J13" s="285"/>
      <c r="K13" s="425"/>
      <c r="L13" s="428">
        <v>14</v>
      </c>
      <c r="M13" s="406" t="str">
        <f>VLOOKUP(L13,пр.взв!B$7:F$22,2,FALSE)</f>
        <v xml:space="preserve">АБДУЛАЕВ  Шамил  Камилович </v>
      </c>
      <c r="N13" s="394" t="str">
        <f>VLOOKUP(L13,пр.взв!B$7:F$22,3,FALSE)</f>
        <v>14.09.2001, КМС</v>
      </c>
      <c r="O13" s="394" t="str">
        <f>VLOOKUP(L13,пр.взв!B$7:F$22,4,FALSE)</f>
        <v>СКФО</v>
      </c>
      <c r="P13" s="394" t="str">
        <f>VLOOKUP(L13,пр.взв!B$7:F$22,5,FALSE)</f>
        <v>Р.Дагестан, Махачкала, МС</v>
      </c>
      <c r="Q13" s="439"/>
      <c r="R13" s="439"/>
      <c r="S13" s="285"/>
      <c r="T13" s="285"/>
    </row>
    <row r="14" spans="1:20" ht="13.5" customHeight="1" thickBot="1">
      <c r="A14" s="426"/>
      <c r="B14" s="434"/>
      <c r="C14" s="407"/>
      <c r="D14" s="395"/>
      <c r="E14" s="395"/>
      <c r="F14" s="395"/>
      <c r="G14" s="440"/>
      <c r="H14" s="440"/>
      <c r="I14" s="443"/>
      <c r="J14" s="443"/>
      <c r="K14" s="426"/>
      <c r="L14" s="459"/>
      <c r="M14" s="407"/>
      <c r="N14" s="395"/>
      <c r="O14" s="395"/>
      <c r="P14" s="395"/>
      <c r="Q14" s="440"/>
      <c r="R14" s="440"/>
      <c r="S14" s="443"/>
      <c r="T14" s="443"/>
    </row>
    <row r="15" spans="1:20" ht="12.75" customHeight="1">
      <c r="A15" s="424">
        <v>3</v>
      </c>
      <c r="B15" s="458">
        <v>3</v>
      </c>
      <c r="C15" s="398" t="str">
        <f>VLOOKUP(B15,пр.взв!B$7:E$22,2,FALSE)</f>
        <v xml:space="preserve">КУЗНЕЦОВ Сергей Владимирович </v>
      </c>
      <c r="D15" s="384" t="str">
        <f>VLOOKUP(B15,пр.взв!B$7:E$22,3,FALSE)</f>
        <v>14.04.1999, МС</v>
      </c>
      <c r="E15" s="384" t="str">
        <f>VLOOKUP(B15,пр.взв!B$7:E$22,4,FALSE)</f>
        <v>УФО</v>
      </c>
      <c r="F15" s="384" t="str">
        <f>VLOOKUP(B15,пр.взв!B$7:F$22,5,FALSE)</f>
        <v>Свердловская ,Верхняя Пышма, Д</v>
      </c>
      <c r="G15" s="444"/>
      <c r="H15" s="445"/>
      <c r="I15" s="441"/>
      <c r="J15" s="442"/>
      <c r="K15" s="424">
        <v>7</v>
      </c>
      <c r="L15" s="458">
        <v>4</v>
      </c>
      <c r="M15" s="398" t="str">
        <f>VLOOKUP(L15,пр.взв!B$7:F$22,2,FALSE)</f>
        <v xml:space="preserve">ФАРГАТОВ Курбан Расимович </v>
      </c>
      <c r="N15" s="384" t="str">
        <f>VLOOKUP(L15,пр.взв!B$7:F$22,3,FALSE)</f>
        <v>17.01.2000, КМС</v>
      </c>
      <c r="O15" s="384" t="str">
        <f>VLOOKUP(L15,пр.взв!B$7:F$22,4,FALSE)</f>
        <v>ЮФО</v>
      </c>
      <c r="P15" s="384" t="str">
        <f>VLOOKUP(L15,пр.взв!B$7:F$22,5,FALSE)</f>
        <v>Краснодарский, Курганинск, МС</v>
      </c>
      <c r="Q15" s="444"/>
      <c r="R15" s="445"/>
      <c r="S15" s="441"/>
      <c r="T15" s="442"/>
    </row>
    <row r="16" spans="1:20" ht="12.75" customHeight="1">
      <c r="A16" s="425"/>
      <c r="B16" s="428"/>
      <c r="C16" s="399"/>
      <c r="D16" s="385"/>
      <c r="E16" s="385"/>
      <c r="F16" s="385"/>
      <c r="G16" s="430"/>
      <c r="H16" s="430"/>
      <c r="I16" s="432"/>
      <c r="J16" s="284"/>
      <c r="K16" s="425"/>
      <c r="L16" s="428"/>
      <c r="M16" s="399"/>
      <c r="N16" s="385"/>
      <c r="O16" s="385"/>
      <c r="P16" s="385"/>
      <c r="Q16" s="430"/>
      <c r="R16" s="430"/>
      <c r="S16" s="432"/>
      <c r="T16" s="284"/>
    </row>
    <row r="17" spans="1:20" ht="12.75" customHeight="1">
      <c r="A17" s="425"/>
      <c r="B17" s="428">
        <v>11</v>
      </c>
      <c r="C17" s="406" t="str">
        <f>VLOOKUP(B17,пр.взв!B$7:E$22,2,FALSE)</f>
        <v xml:space="preserve">МАНУКЯН Леван Гарикович </v>
      </c>
      <c r="D17" s="394" t="str">
        <f>VLOOKUP(B17,пр.взв!B$7:E$22,3,FALSE)</f>
        <v>22.00.2002, МС</v>
      </c>
      <c r="E17" s="394" t="str">
        <f>VLOOKUP(B17,пр.взв!B$7:E$22,4,FALSE)</f>
        <v>ЮФО</v>
      </c>
      <c r="F17" s="394" t="str">
        <f>VLOOKUP(B17,пр.взв!B$7:F$22,5,FALSE)</f>
        <v>Краснодарский, Сочи, МО</v>
      </c>
      <c r="G17" s="439"/>
      <c r="H17" s="439"/>
      <c r="I17" s="285"/>
      <c r="J17" s="285"/>
      <c r="K17" s="425"/>
      <c r="L17" s="428">
        <v>12</v>
      </c>
      <c r="M17" s="406" t="str">
        <f>VLOOKUP(L17,пр.взв!B$7:F$22,2,FALSE)</f>
        <v>ЕВСЕЕВ Дмитрий Александрович</v>
      </c>
      <c r="N17" s="394" t="str">
        <f>VLOOKUP(L17,пр.взв!B$7:F$22,3,FALSE)</f>
        <v>25.09.2003, КМС</v>
      </c>
      <c r="O17" s="394" t="str">
        <f>VLOOKUP(L17,пр.взв!B$7:F$22,4,FALSE)</f>
        <v>УФО</v>
      </c>
      <c r="P17" s="394" t="str">
        <f>VLOOKUP(L17,пр.взв!B$7:F$22,5,FALSE)</f>
        <v>Свердловская, Екатеринбург, МО</v>
      </c>
      <c r="Q17" s="439"/>
      <c r="R17" s="439"/>
      <c r="S17" s="285"/>
      <c r="T17" s="285"/>
    </row>
    <row r="18" spans="1:20" ht="13.5" customHeight="1" thickBot="1">
      <c r="A18" s="426"/>
      <c r="B18" s="434"/>
      <c r="C18" s="407"/>
      <c r="D18" s="395"/>
      <c r="E18" s="395"/>
      <c r="F18" s="395"/>
      <c r="G18" s="440"/>
      <c r="H18" s="440"/>
      <c r="I18" s="443"/>
      <c r="J18" s="443"/>
      <c r="K18" s="426"/>
      <c r="L18" s="434"/>
      <c r="M18" s="407"/>
      <c r="N18" s="395"/>
      <c r="O18" s="395"/>
      <c r="P18" s="395"/>
      <c r="Q18" s="440"/>
      <c r="R18" s="440"/>
      <c r="S18" s="443"/>
      <c r="T18" s="443"/>
    </row>
    <row r="19" spans="1:20" ht="12.75" customHeight="1">
      <c r="A19" s="424">
        <v>4</v>
      </c>
      <c r="B19" s="458">
        <v>7</v>
      </c>
      <c r="C19" s="398" t="str">
        <f>VLOOKUP(B19,пр.взв!B$7:E$22,2,FALSE)</f>
        <v>МИШУНИН Аким Станиславович</v>
      </c>
      <c r="D19" s="384" t="str">
        <f>VLOOKUP(B19,пр.взв!B$7:E$22,3,FALSE)</f>
        <v>14.01.2003, КМС</v>
      </c>
      <c r="E19" s="384" t="str">
        <f>VLOOKUP(B19,пр.взв!B$7:E$22,4,FALSE)</f>
        <v>МОС</v>
      </c>
      <c r="F19" s="384" t="str">
        <f>VLOOKUP(B19,пр.взв!B$7:F$22,5,FALSE)</f>
        <v>Москва, Москва, ВС</v>
      </c>
      <c r="G19" s="430"/>
      <c r="H19" s="460"/>
      <c r="I19" s="432"/>
      <c r="J19" s="461"/>
      <c r="K19" s="424">
        <v>8</v>
      </c>
      <c r="L19" s="454">
        <v>8</v>
      </c>
      <c r="M19" s="398" t="str">
        <f>VLOOKUP(L19,пр.взв!B$7:F$22,2,FALSE)</f>
        <v>ЗИГАНШИН Эмиль Фаридович</v>
      </c>
      <c r="N19" s="384" t="str">
        <f>VLOOKUP(L19,пр.взв!B$7:F$22,3,FALSE)</f>
        <v>18.03.2000, КМС</v>
      </c>
      <c r="O19" s="384" t="str">
        <f>VLOOKUP(L19,пр.взв!B$7:F$22,4,FALSE)</f>
        <v>ПФО</v>
      </c>
      <c r="P19" s="384" t="str">
        <f>VLOOKUP(L19,пр.взв!B$7:F$22,5,FALSE)</f>
        <v>Р.Татарстан, Казань</v>
      </c>
      <c r="Q19" s="430"/>
      <c r="R19" s="460"/>
      <c r="S19" s="432"/>
      <c r="T19" s="461"/>
    </row>
    <row r="20" spans="1:20" ht="12.75" customHeight="1">
      <c r="A20" s="425"/>
      <c r="B20" s="428"/>
      <c r="C20" s="399"/>
      <c r="D20" s="385"/>
      <c r="E20" s="385"/>
      <c r="F20" s="385"/>
      <c r="G20" s="430"/>
      <c r="H20" s="430"/>
      <c r="I20" s="432"/>
      <c r="J20" s="284"/>
      <c r="K20" s="425"/>
      <c r="L20" s="428"/>
      <c r="M20" s="399"/>
      <c r="N20" s="385"/>
      <c r="O20" s="385"/>
      <c r="P20" s="385"/>
      <c r="Q20" s="430"/>
      <c r="R20" s="430"/>
      <c r="S20" s="432"/>
      <c r="T20" s="284"/>
    </row>
    <row r="21" spans="1:20" ht="12.75" customHeight="1">
      <c r="A21" s="425"/>
      <c r="B21" s="428">
        <v>15</v>
      </c>
      <c r="C21" s="406" t="str">
        <f>VLOOKUP(B21,пр.взв!B$7:E$22,2,FALSE)</f>
        <v>РОГАЧЕВ Юрий Игоревич</v>
      </c>
      <c r="D21" s="394" t="str">
        <f>VLOOKUP(B21,пр.взв!B$7:E$22,3,FALSE)</f>
        <v>15.06.2003, КМС</v>
      </c>
      <c r="E21" s="394" t="str">
        <f>VLOOKUP(B21,пр.взв!B$7:E$22,4,FALSE)</f>
        <v>ЦФО</v>
      </c>
      <c r="F21" s="394" t="str">
        <f>VLOOKUP(B21,пр.взв!B$7:F$22,5,FALSE)</f>
        <v>Московская, Дзержинсий, МО</v>
      </c>
      <c r="G21" s="439"/>
      <c r="H21" s="439"/>
      <c r="I21" s="285"/>
      <c r="J21" s="285"/>
      <c r="K21" s="425"/>
      <c r="L21" s="428">
        <v>16</v>
      </c>
      <c r="M21" s="406" t="str">
        <f>VLOOKUP(L21,пр.взв!B$7:F$22,2,FALSE)</f>
        <v>КНЯЗЬКОВ Кирилл Сергеевич</v>
      </c>
      <c r="N21" s="394" t="str">
        <f>VLOOKUP(L21,пр.взв!B$7:F$22,3,FALSE)</f>
        <v>20.07.2003, КМС</v>
      </c>
      <c r="O21" s="394" t="str">
        <f>VLOOKUP(L21,пр.взв!B$7:F$22,4,FALSE)</f>
        <v>МОС</v>
      </c>
      <c r="P21" s="394" t="str">
        <f>VLOOKUP(L21,пр.взв!B$7:F$22,5,FALSE)</f>
        <v>Москва, Москва, Д</v>
      </c>
      <c r="Q21" s="439"/>
      <c r="R21" s="439"/>
      <c r="S21" s="285"/>
      <c r="T21" s="285"/>
    </row>
    <row r="22" spans="1:20" ht="12.75" customHeight="1" thickBot="1">
      <c r="A22" s="426"/>
      <c r="B22" s="434"/>
      <c r="C22" s="407"/>
      <c r="D22" s="395"/>
      <c r="E22" s="395"/>
      <c r="F22" s="395"/>
      <c r="G22" s="440"/>
      <c r="H22" s="440"/>
      <c r="I22" s="443"/>
      <c r="J22" s="443"/>
      <c r="K22" s="426"/>
      <c r="L22" s="434"/>
      <c r="M22" s="407"/>
      <c r="N22" s="395"/>
      <c r="O22" s="395"/>
      <c r="P22" s="395"/>
      <c r="Q22" s="440"/>
      <c r="R22" s="440"/>
      <c r="S22" s="443"/>
      <c r="T22" s="443"/>
    </row>
    <row r="23" spans="1:20">
      <c r="B23">
        <f>B3</f>
        <v>2</v>
      </c>
      <c r="C23" s="5" t="s">
        <v>92</v>
      </c>
      <c r="L23">
        <f>L3</f>
        <v>3</v>
      </c>
      <c r="M23" s="5" t="s">
        <v>92</v>
      </c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98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98 кг.</v>
      </c>
      <c r="R24" s="77"/>
      <c r="S24" s="77"/>
      <c r="T24" s="77"/>
    </row>
    <row r="25" spans="1:20" ht="12.75" customHeight="1">
      <c r="A25" s="414" t="s">
        <v>39</v>
      </c>
      <c r="B25" s="416" t="s">
        <v>4</v>
      </c>
      <c r="C25" s="418" t="s">
        <v>5</v>
      </c>
      <c r="D25" s="422" t="s">
        <v>12</v>
      </c>
      <c r="E25" s="390" t="s">
        <v>13</v>
      </c>
      <c r="F25" s="391"/>
      <c r="G25" s="418" t="s">
        <v>14</v>
      </c>
      <c r="H25" s="437" t="s">
        <v>40</v>
      </c>
      <c r="I25" s="409" t="s">
        <v>15</v>
      </c>
      <c r="J25" s="411" t="s">
        <v>16</v>
      </c>
      <c r="K25" s="414" t="s">
        <v>39</v>
      </c>
      <c r="L25" s="416" t="s">
        <v>4</v>
      </c>
      <c r="M25" s="418" t="s">
        <v>5</v>
      </c>
      <c r="N25" s="422" t="s">
        <v>12</v>
      </c>
      <c r="O25" s="386" t="s">
        <v>13</v>
      </c>
      <c r="P25" s="387"/>
      <c r="Q25" s="418" t="s">
        <v>14</v>
      </c>
      <c r="R25" s="437" t="s">
        <v>40</v>
      </c>
      <c r="S25" s="409" t="s">
        <v>15</v>
      </c>
      <c r="T25" s="411" t="s">
        <v>16</v>
      </c>
    </row>
    <row r="26" spans="1:20" ht="13.5" customHeight="1" thickBot="1">
      <c r="A26" s="415"/>
      <c r="B26" s="417" t="s">
        <v>33</v>
      </c>
      <c r="C26" s="419"/>
      <c r="D26" s="423"/>
      <c r="E26" s="392"/>
      <c r="F26" s="393"/>
      <c r="G26" s="419"/>
      <c r="H26" s="438"/>
      <c r="I26" s="410"/>
      <c r="J26" s="412" t="s">
        <v>34</v>
      </c>
      <c r="K26" s="415"/>
      <c r="L26" s="417" t="s">
        <v>33</v>
      </c>
      <c r="M26" s="419"/>
      <c r="N26" s="423"/>
      <c r="O26" s="388"/>
      <c r="P26" s="389"/>
      <c r="Q26" s="419"/>
      <c r="R26" s="438"/>
      <c r="S26" s="410"/>
      <c r="T26" s="412" t="s">
        <v>34</v>
      </c>
    </row>
    <row r="27" spans="1:20" ht="12.75" customHeight="1">
      <c r="A27" s="424">
        <v>1</v>
      </c>
      <c r="B27" s="427">
        <f>пр.хода!E8</f>
        <v>0</v>
      </c>
      <c r="C27" s="398" t="e">
        <f>VLOOKUP(B27,пр.взв!B$7:E$22,2,FALSE)</f>
        <v>#N/A</v>
      </c>
      <c r="D27" s="384" t="e">
        <f>VLOOKUP(B27,пр.взв!B$7:E$22,3,FALSE)</f>
        <v>#N/A</v>
      </c>
      <c r="E27" s="384" t="e">
        <f>VLOOKUP(B27,пр.взв!B$7:E$22,4,FALSE)</f>
        <v>#N/A</v>
      </c>
      <c r="F27" s="384" t="e">
        <f>VLOOKUP(B27,пр.взв!B$7:F$22,5,FALSE)</f>
        <v>#N/A</v>
      </c>
      <c r="G27" s="435"/>
      <c r="H27" s="429"/>
      <c r="I27" s="431"/>
      <c r="J27" s="422"/>
      <c r="K27" s="413">
        <v>3</v>
      </c>
      <c r="L27" s="427">
        <f>пр.хода!Q8</f>
        <v>0</v>
      </c>
      <c r="M27" s="398" t="e">
        <f>VLOOKUP(L27,пр.взв!B$7:F$22,2,FALSE)</f>
        <v>#N/A</v>
      </c>
      <c r="N27" s="384" t="e">
        <f>VLOOKUP(L27,пр.взв!B$7:F$22,3,FALSE)</f>
        <v>#N/A</v>
      </c>
      <c r="O27" s="384" t="e">
        <f>VLOOKUP(L27,пр.взв!B$7:F$22,4,FALSE)</f>
        <v>#N/A</v>
      </c>
      <c r="P27" s="384" t="e">
        <f>VLOOKUP(L27,пр.взв!B$7:F$22,5,FALSE)</f>
        <v>#N/A</v>
      </c>
      <c r="Q27" s="435"/>
      <c r="R27" s="429"/>
      <c r="S27" s="431"/>
      <c r="T27" s="422"/>
    </row>
    <row r="28" spans="1:20">
      <c r="A28" s="425"/>
      <c r="B28" s="428"/>
      <c r="C28" s="399"/>
      <c r="D28" s="385"/>
      <c r="E28" s="385"/>
      <c r="F28" s="385"/>
      <c r="G28" s="430"/>
      <c r="H28" s="430"/>
      <c r="I28" s="432"/>
      <c r="J28" s="284"/>
      <c r="K28" s="400"/>
      <c r="L28" s="428"/>
      <c r="M28" s="399"/>
      <c r="N28" s="385"/>
      <c r="O28" s="385"/>
      <c r="P28" s="385"/>
      <c r="Q28" s="430"/>
      <c r="R28" s="430"/>
      <c r="S28" s="432"/>
      <c r="T28" s="284"/>
    </row>
    <row r="29" spans="1:20" ht="12.75" customHeight="1">
      <c r="A29" s="425"/>
      <c r="B29" s="433">
        <f>пр.хода!E12</f>
        <v>0</v>
      </c>
      <c r="C29" s="406" t="e">
        <f>VLOOKUP(B29,пр.взв!B$7:E$22,2,FALSE)</f>
        <v>#N/A</v>
      </c>
      <c r="D29" s="394" t="e">
        <f>VLOOKUP(B29,пр.взв!B$7:E$22,3,FALSE)</f>
        <v>#N/A</v>
      </c>
      <c r="E29" s="394" t="e">
        <f>VLOOKUP(B29,пр.взв!B$7:E$22,4,FALSE)</f>
        <v>#N/A</v>
      </c>
      <c r="F29" s="394" t="e">
        <f>VLOOKUP(B29,пр.взв!B$7:F$22,5,FALSE)</f>
        <v>#N/A</v>
      </c>
      <c r="G29" s="439"/>
      <c r="H29" s="439"/>
      <c r="I29" s="285"/>
      <c r="J29" s="285"/>
      <c r="K29" s="400"/>
      <c r="L29" s="433">
        <f>пр.хода!Q12</f>
        <v>0</v>
      </c>
      <c r="M29" s="406" t="e">
        <f>VLOOKUP(L29,пр.взв!B$7:F$22,2,FALSE)</f>
        <v>#N/A</v>
      </c>
      <c r="N29" s="394" t="e">
        <f>VLOOKUP(L29,пр.взв!B$7:F$22,3,FALSE)</f>
        <v>#N/A</v>
      </c>
      <c r="O29" s="394" t="e">
        <f>VLOOKUP(L29,пр.взв!B$7:F$22,4,FALSE)</f>
        <v>#N/A</v>
      </c>
      <c r="P29" s="394" t="e">
        <f>VLOOKUP(L29,пр.взв!B$7:F$22,5,FALSE)</f>
        <v>#N/A</v>
      </c>
      <c r="Q29" s="439"/>
      <c r="R29" s="439"/>
      <c r="S29" s="285"/>
      <c r="T29" s="285"/>
    </row>
    <row r="30" spans="1:20" ht="13.5" thickBot="1">
      <c r="A30" s="426"/>
      <c r="B30" s="434"/>
      <c r="C30" s="407"/>
      <c r="D30" s="395"/>
      <c r="E30" s="395"/>
      <c r="F30" s="395"/>
      <c r="G30" s="440"/>
      <c r="H30" s="440"/>
      <c r="I30" s="443"/>
      <c r="J30" s="443"/>
      <c r="K30" s="401"/>
      <c r="L30" s="434"/>
      <c r="M30" s="407"/>
      <c r="N30" s="395"/>
      <c r="O30" s="395"/>
      <c r="P30" s="395"/>
      <c r="Q30" s="440"/>
      <c r="R30" s="440"/>
      <c r="S30" s="443"/>
      <c r="T30" s="443"/>
    </row>
    <row r="31" spans="1:20" ht="12.75" customHeight="1">
      <c r="A31" s="424">
        <v>2</v>
      </c>
      <c r="B31" s="427">
        <f>пр.хода!E16</f>
        <v>0</v>
      </c>
      <c r="C31" s="398" t="e">
        <f>VLOOKUP(B31,пр.взв!B$7:E$22,2,FALSE)</f>
        <v>#N/A</v>
      </c>
      <c r="D31" s="384" t="e">
        <f>VLOOKUP(B31,пр.взв!B$7:E$22,3,FALSE)</f>
        <v>#N/A</v>
      </c>
      <c r="E31" s="384" t="e">
        <f>VLOOKUP(B31,пр.взв!B$7:E$22,4,FALSE)</f>
        <v>#N/A</v>
      </c>
      <c r="F31" s="384" t="e">
        <f>VLOOKUP(B31,пр.взв!B$7:F$22,5,FALSE)</f>
        <v>#N/A</v>
      </c>
      <c r="G31" s="435"/>
      <c r="H31" s="429"/>
      <c r="I31" s="431"/>
      <c r="J31" s="436"/>
      <c r="K31" s="413">
        <v>4</v>
      </c>
      <c r="L31" s="427">
        <f>пр.хода!Q16</f>
        <v>0</v>
      </c>
      <c r="M31" s="398" t="e">
        <f>VLOOKUP(L31,пр.взв!B$7:F$22,2,FALSE)</f>
        <v>#N/A</v>
      </c>
      <c r="N31" s="384" t="e">
        <f>VLOOKUP(L31,пр.взв!B$7:F$22,3,FALSE)</f>
        <v>#N/A</v>
      </c>
      <c r="O31" s="384" t="e">
        <f>VLOOKUP(L31,пр.взв!B$7:F$22,4,FALSE)</f>
        <v>#N/A</v>
      </c>
      <c r="P31" s="384" t="e">
        <f>VLOOKUP(L31,пр.взв!B$7:F$22,5,FALSE)</f>
        <v>#N/A</v>
      </c>
      <c r="Q31" s="435"/>
      <c r="R31" s="429"/>
      <c r="S31" s="431"/>
      <c r="T31" s="436"/>
    </row>
    <row r="32" spans="1:20">
      <c r="A32" s="425"/>
      <c r="B32" s="428"/>
      <c r="C32" s="399"/>
      <c r="D32" s="385"/>
      <c r="E32" s="385"/>
      <c r="F32" s="385"/>
      <c r="G32" s="430"/>
      <c r="H32" s="430"/>
      <c r="I32" s="432"/>
      <c r="J32" s="284"/>
      <c r="K32" s="400"/>
      <c r="L32" s="428"/>
      <c r="M32" s="399"/>
      <c r="N32" s="385"/>
      <c r="O32" s="385"/>
      <c r="P32" s="385"/>
      <c r="Q32" s="430"/>
      <c r="R32" s="430"/>
      <c r="S32" s="432"/>
      <c r="T32" s="284"/>
    </row>
    <row r="33" spans="1:20" ht="12.75" customHeight="1">
      <c r="A33" s="425"/>
      <c r="B33" s="433">
        <f>пр.хода!E20</f>
        <v>0</v>
      </c>
      <c r="C33" s="406" t="e">
        <f>VLOOKUP(B33,пр.взв!B$7:E$22,2,FALSE)</f>
        <v>#N/A</v>
      </c>
      <c r="D33" s="394" t="e">
        <f>VLOOKUP(B33,пр.взв!B$7:E$22,3,FALSE)</f>
        <v>#N/A</v>
      </c>
      <c r="E33" s="394" t="e">
        <f>VLOOKUP(B33,пр.взв!B$7:E$22,4,FALSE)</f>
        <v>#N/A</v>
      </c>
      <c r="F33" s="394" t="e">
        <f>VLOOKUP(B33,пр.взв!B$7:F$22,5,FALSE)</f>
        <v>#N/A</v>
      </c>
      <c r="G33" s="439"/>
      <c r="H33" s="439"/>
      <c r="I33" s="285"/>
      <c r="J33" s="285"/>
      <c r="K33" s="400"/>
      <c r="L33" s="433">
        <f>пр.хода!Q20</f>
        <v>0</v>
      </c>
      <c r="M33" s="406" t="e">
        <f>VLOOKUP(L33,пр.взв!B$7:F$22,2,FALSE)</f>
        <v>#N/A</v>
      </c>
      <c r="N33" s="394" t="e">
        <f>VLOOKUP(L33,пр.взв!B$7:F$22,3,FALSE)</f>
        <v>#N/A</v>
      </c>
      <c r="O33" s="394" t="e">
        <f>VLOOKUP(L33,пр.взв!B$7:F$22,4,FALSE)</f>
        <v>#N/A</v>
      </c>
      <c r="P33" s="394" t="e">
        <f>VLOOKUP(L33,пр.взв!B$7:F$22,5,FALSE)</f>
        <v>#N/A</v>
      </c>
      <c r="Q33" s="439"/>
      <c r="R33" s="439"/>
      <c r="S33" s="285"/>
      <c r="T33" s="285"/>
    </row>
    <row r="34" spans="1:20" ht="13.5" thickBot="1">
      <c r="A34" s="426"/>
      <c r="B34" s="434"/>
      <c r="C34" s="407"/>
      <c r="D34" s="395"/>
      <c r="E34" s="395"/>
      <c r="F34" s="395"/>
      <c r="G34" s="440"/>
      <c r="H34" s="440"/>
      <c r="I34" s="443"/>
      <c r="J34" s="443"/>
      <c r="K34" s="401"/>
      <c r="L34" s="434"/>
      <c r="M34" s="407"/>
      <c r="N34" s="395"/>
      <c r="O34" s="395"/>
      <c r="P34" s="395"/>
      <c r="Q34" s="440"/>
      <c r="R34" s="440"/>
      <c r="S34" s="443"/>
      <c r="T34" s="443"/>
    </row>
    <row r="35" spans="1:20">
      <c r="B35">
        <f>B23</f>
        <v>2</v>
      </c>
      <c r="C35" s="5" t="s">
        <v>92</v>
      </c>
      <c r="L35">
        <f>L23</f>
        <v>3</v>
      </c>
      <c r="M35" s="5" t="s">
        <v>92</v>
      </c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98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98 кг.</v>
      </c>
      <c r="R36" s="79"/>
      <c r="S36" s="79"/>
      <c r="T36" s="79"/>
    </row>
    <row r="37" spans="1:20" ht="12.75" customHeight="1">
      <c r="A37" s="414" t="s">
        <v>39</v>
      </c>
      <c r="B37" s="416" t="s">
        <v>4</v>
      </c>
      <c r="C37" s="418" t="s">
        <v>5</v>
      </c>
      <c r="D37" s="422" t="s">
        <v>12</v>
      </c>
      <c r="E37" s="390" t="s">
        <v>13</v>
      </c>
      <c r="F37" s="391"/>
      <c r="G37" s="418" t="s">
        <v>14</v>
      </c>
      <c r="H37" s="437" t="s">
        <v>40</v>
      </c>
      <c r="I37" s="409" t="s">
        <v>15</v>
      </c>
      <c r="J37" s="411" t="s">
        <v>16</v>
      </c>
      <c r="K37" s="414" t="s">
        <v>39</v>
      </c>
      <c r="L37" s="416" t="s">
        <v>4</v>
      </c>
      <c r="M37" s="418" t="s">
        <v>5</v>
      </c>
      <c r="N37" s="422" t="s">
        <v>12</v>
      </c>
      <c r="O37" s="386" t="s">
        <v>13</v>
      </c>
      <c r="P37" s="387"/>
      <c r="Q37" s="418" t="s">
        <v>14</v>
      </c>
      <c r="R37" s="437" t="s">
        <v>40</v>
      </c>
      <c r="S37" s="409" t="s">
        <v>15</v>
      </c>
      <c r="T37" s="411" t="s">
        <v>16</v>
      </c>
    </row>
    <row r="38" spans="1:20" ht="13.5" customHeight="1" thickBot="1">
      <c r="A38" s="415"/>
      <c r="B38" s="417" t="s">
        <v>33</v>
      </c>
      <c r="C38" s="419"/>
      <c r="D38" s="423"/>
      <c r="E38" s="392"/>
      <c r="F38" s="393"/>
      <c r="G38" s="419"/>
      <c r="H38" s="438"/>
      <c r="I38" s="410"/>
      <c r="J38" s="412" t="s">
        <v>34</v>
      </c>
      <c r="K38" s="415"/>
      <c r="L38" s="417" t="s">
        <v>33</v>
      </c>
      <c r="M38" s="419"/>
      <c r="N38" s="423"/>
      <c r="O38" s="388"/>
      <c r="P38" s="389"/>
      <c r="Q38" s="419"/>
      <c r="R38" s="438"/>
      <c r="S38" s="410"/>
      <c r="T38" s="412" t="s">
        <v>34</v>
      </c>
    </row>
    <row r="39" spans="1:20" ht="12.75" customHeight="1">
      <c r="A39" s="462">
        <v>1</v>
      </c>
      <c r="B39" s="396">
        <f>пр.хода!G10</f>
        <v>0</v>
      </c>
      <c r="C39" s="398" t="e">
        <f>VLOOKUP(B39,пр.взв!B$7:E$22,2,FALSE)</f>
        <v>#N/A</v>
      </c>
      <c r="D39" s="384" t="e">
        <f>VLOOKUP(B39,пр.взв!B$7:E$22,3,FALSE)</f>
        <v>#N/A</v>
      </c>
      <c r="E39" s="384" t="e">
        <f>VLOOKUP(B39,пр.взв!B$7:E$22,4,FALSE)</f>
        <v>#N/A</v>
      </c>
      <c r="F39" s="384" t="e">
        <f>VLOOKUP(B39,пр.взв!B$7:F$22,5,FALSE)</f>
        <v>#N/A</v>
      </c>
      <c r="G39" s="435"/>
      <c r="H39" s="429"/>
      <c r="I39" s="431"/>
      <c r="J39" s="422"/>
      <c r="K39" s="462">
        <v>2</v>
      </c>
      <c r="L39" s="396">
        <f>пр.хода!O10</f>
        <v>0</v>
      </c>
      <c r="M39" s="398" t="e">
        <f>VLOOKUP(L39,пр.взв!B$7:F$22,2,FALSE)</f>
        <v>#N/A</v>
      </c>
      <c r="N39" s="384" t="e">
        <f>VLOOKUP(L39,пр.взв!B$7:F$22,3,FALSE)</f>
        <v>#N/A</v>
      </c>
      <c r="O39" s="384" t="e">
        <f>VLOOKUP(L39,пр.взв!B$7:F$22,4,FALSE)</f>
        <v>#N/A</v>
      </c>
      <c r="P39" s="384" t="e">
        <f>VLOOKUP(L39,пр.взв!B$7:F$22,5,FALSE)</f>
        <v>#N/A</v>
      </c>
      <c r="Q39" s="435"/>
      <c r="R39" s="429"/>
      <c r="S39" s="431"/>
      <c r="T39" s="422"/>
    </row>
    <row r="40" spans="1:20">
      <c r="A40" s="463"/>
      <c r="B40" s="403"/>
      <c r="C40" s="399"/>
      <c r="D40" s="385"/>
      <c r="E40" s="385"/>
      <c r="F40" s="385"/>
      <c r="G40" s="430"/>
      <c r="H40" s="430"/>
      <c r="I40" s="432"/>
      <c r="J40" s="284"/>
      <c r="K40" s="463"/>
      <c r="L40" s="403"/>
      <c r="M40" s="399"/>
      <c r="N40" s="385"/>
      <c r="O40" s="385"/>
      <c r="P40" s="385"/>
      <c r="Q40" s="430"/>
      <c r="R40" s="430"/>
      <c r="S40" s="432"/>
      <c r="T40" s="284"/>
    </row>
    <row r="41" spans="1:20" ht="12.75" customHeight="1">
      <c r="A41" s="463"/>
      <c r="B41" s="420">
        <f>пр.хода!G18</f>
        <v>0</v>
      </c>
      <c r="C41" s="406" t="e">
        <f>VLOOKUP(B41,пр.взв!B$7:E$22,2,FALSE)</f>
        <v>#N/A</v>
      </c>
      <c r="D41" s="394" t="e">
        <f>VLOOKUP(B41,пр.взв!B$7:E$22,3,FALSE)</f>
        <v>#N/A</v>
      </c>
      <c r="E41" s="394" t="e">
        <f>VLOOKUP(B41,пр.взв!B$7:E$22,4,FALSE)</f>
        <v>#N/A</v>
      </c>
      <c r="F41" s="394" t="e">
        <f>VLOOKUP(B41,пр.взв!B$7:F$22,5,FALSE)</f>
        <v>#N/A</v>
      </c>
      <c r="G41" s="439"/>
      <c r="H41" s="439"/>
      <c r="I41" s="285"/>
      <c r="J41" s="285"/>
      <c r="K41" s="463"/>
      <c r="L41" s="420">
        <f>пр.хода!O18</f>
        <v>0</v>
      </c>
      <c r="M41" s="406" t="e">
        <f>VLOOKUP(L41,пр.взв!B$7:F$22,2,FALSE)</f>
        <v>#N/A</v>
      </c>
      <c r="N41" s="394" t="e">
        <f>VLOOKUP(L41,пр.взв!B$7:F$22,3,FALSE)</f>
        <v>#N/A</v>
      </c>
      <c r="O41" s="394" t="e">
        <f>VLOOKUP(L41,пр.взв!B$7:F$22,4,FALSE)</f>
        <v>#N/A</v>
      </c>
      <c r="P41" s="394" t="e">
        <f>VLOOKUP(L41,пр.взв!B$7:F$22,5,FALSE)</f>
        <v>#N/A</v>
      </c>
      <c r="Q41" s="439"/>
      <c r="R41" s="439"/>
      <c r="S41" s="285"/>
      <c r="T41" s="285"/>
    </row>
    <row r="42" spans="1:20" ht="13.5" thickBot="1">
      <c r="A42" s="464"/>
      <c r="B42" s="405"/>
      <c r="C42" s="407"/>
      <c r="D42" s="395"/>
      <c r="E42" s="395"/>
      <c r="F42" s="395"/>
      <c r="G42" s="440"/>
      <c r="H42" s="440"/>
      <c r="I42" s="443"/>
      <c r="J42" s="443"/>
      <c r="K42" s="464"/>
      <c r="L42" s="405"/>
      <c r="M42" s="407"/>
      <c r="N42" s="395"/>
      <c r="O42" s="395"/>
      <c r="P42" s="395"/>
      <c r="Q42" s="440"/>
      <c r="R42" s="440"/>
      <c r="S42" s="443"/>
      <c r="T42" s="443"/>
    </row>
    <row r="43" spans="1:20">
      <c r="B43">
        <f>B35</f>
        <v>2</v>
      </c>
      <c r="C43" s="5" t="s">
        <v>92</v>
      </c>
      <c r="L43">
        <f>L35</f>
        <v>3</v>
      </c>
      <c r="M43" s="5" t="s">
        <v>92</v>
      </c>
    </row>
    <row r="44" spans="1:20" ht="15">
      <c r="A44" s="408" t="s">
        <v>93</v>
      </c>
      <c r="B44" s="408"/>
      <c r="C44" s="408"/>
      <c r="D44" s="408"/>
      <c r="E44" s="408"/>
      <c r="F44" s="408"/>
      <c r="G44" s="408"/>
      <c r="H44" s="408"/>
      <c r="I44" s="408"/>
      <c r="J44" s="408"/>
      <c r="K44" s="408" t="s">
        <v>93</v>
      </c>
      <c r="L44" s="408"/>
      <c r="M44" s="408"/>
      <c r="N44" s="408"/>
      <c r="O44" s="408"/>
      <c r="P44" s="408"/>
      <c r="Q44" s="408"/>
      <c r="R44" s="408"/>
      <c r="S44" s="408"/>
      <c r="T44" s="408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 98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98 кг.</v>
      </c>
      <c r="R45" s="78"/>
      <c r="S45" s="78"/>
      <c r="T45" s="78"/>
    </row>
    <row r="46" spans="1:20" ht="12.75" customHeight="1">
      <c r="A46" s="414" t="s">
        <v>39</v>
      </c>
      <c r="B46" s="416" t="s">
        <v>4</v>
      </c>
      <c r="C46" s="418" t="s">
        <v>5</v>
      </c>
      <c r="D46" s="422" t="s">
        <v>12</v>
      </c>
      <c r="E46" s="390" t="s">
        <v>13</v>
      </c>
      <c r="F46" s="391"/>
      <c r="G46" s="418" t="s">
        <v>14</v>
      </c>
      <c r="H46" s="437" t="s">
        <v>40</v>
      </c>
      <c r="I46" s="409" t="s">
        <v>15</v>
      </c>
      <c r="J46" s="411" t="s">
        <v>16</v>
      </c>
      <c r="K46" s="414" t="s">
        <v>39</v>
      </c>
      <c r="L46" s="416" t="s">
        <v>4</v>
      </c>
      <c r="M46" s="418" t="s">
        <v>5</v>
      </c>
      <c r="N46" s="422" t="s">
        <v>12</v>
      </c>
      <c r="O46" s="386" t="s">
        <v>13</v>
      </c>
      <c r="P46" s="387"/>
      <c r="Q46" s="418" t="s">
        <v>14</v>
      </c>
      <c r="R46" s="437" t="s">
        <v>40</v>
      </c>
      <c r="S46" s="409" t="s">
        <v>15</v>
      </c>
      <c r="T46" s="411" t="s">
        <v>16</v>
      </c>
    </row>
    <row r="47" spans="1:20" ht="13.5" customHeight="1" thickBot="1">
      <c r="A47" s="415"/>
      <c r="B47" s="417" t="s">
        <v>33</v>
      </c>
      <c r="C47" s="419"/>
      <c r="D47" s="423"/>
      <c r="E47" s="392"/>
      <c r="F47" s="393"/>
      <c r="G47" s="419"/>
      <c r="H47" s="438"/>
      <c r="I47" s="410"/>
      <c r="J47" s="412" t="s">
        <v>34</v>
      </c>
      <c r="K47" s="415"/>
      <c r="L47" s="417" t="s">
        <v>33</v>
      </c>
      <c r="M47" s="419"/>
      <c r="N47" s="423"/>
      <c r="O47" s="388"/>
      <c r="P47" s="389"/>
      <c r="Q47" s="419"/>
      <c r="R47" s="438"/>
      <c r="S47" s="410"/>
      <c r="T47" s="412" t="s">
        <v>34</v>
      </c>
    </row>
    <row r="48" spans="1:20" ht="12.75" customHeight="1">
      <c r="A48" s="413">
        <v>1</v>
      </c>
      <c r="B48" s="402" t="str">
        <f>пр.хода!A25</f>
        <v xml:space="preserve"> </v>
      </c>
      <c r="C48" s="398" t="e">
        <f>VLOOKUP(B48,пр.взв!B$7:E$22,2,FALSE)</f>
        <v>#N/A</v>
      </c>
      <c r="D48" s="384" t="e">
        <f>VLOOKUP(B48,пр.взв!B$7:E$22,3,FALSE)</f>
        <v>#N/A</v>
      </c>
      <c r="E48" s="384" t="e">
        <f>VLOOKUP(B48,пр.взв!B$7:E$22,4,FALSE)</f>
        <v>#N/A</v>
      </c>
      <c r="F48" s="384" t="e">
        <f>VLOOKUP(B48,пр.взв!B$7:F$22,5,FALSE)</f>
        <v>#N/A</v>
      </c>
      <c r="G48" s="435"/>
      <c r="H48" s="429"/>
      <c r="I48" s="431"/>
      <c r="J48" s="422"/>
      <c r="K48" s="413">
        <v>3</v>
      </c>
      <c r="L48" s="466" t="str">
        <f>пр.хода!I25</f>
        <v xml:space="preserve"> </v>
      </c>
      <c r="M48" s="398" t="e">
        <f>VLOOKUP(L48,пр.взв!B$7:F$22,2,FALSE)</f>
        <v>#N/A</v>
      </c>
      <c r="N48" s="384" t="e">
        <f>VLOOKUP(L48,пр.взв!B$7:F$22,3,FALSE)</f>
        <v>#N/A</v>
      </c>
      <c r="O48" s="384" t="e">
        <f>VLOOKUP(L48,пр.взв!B$7:F$22,4,FALSE)</f>
        <v>#N/A</v>
      </c>
      <c r="P48" s="384" t="e">
        <f>VLOOKUP(L48,пр.взв!B$7:F$22,5,FALSE)</f>
        <v>#N/A</v>
      </c>
      <c r="Q48" s="444"/>
      <c r="R48" s="445"/>
      <c r="S48" s="441"/>
      <c r="T48" s="442"/>
    </row>
    <row r="49" spans="1:20">
      <c r="A49" s="400"/>
      <c r="B49" s="403"/>
      <c r="C49" s="399"/>
      <c r="D49" s="385"/>
      <c r="E49" s="385"/>
      <c r="F49" s="385"/>
      <c r="G49" s="430"/>
      <c r="H49" s="430"/>
      <c r="I49" s="432"/>
      <c r="J49" s="284"/>
      <c r="K49" s="400"/>
      <c r="L49" s="403"/>
      <c r="M49" s="399"/>
      <c r="N49" s="385"/>
      <c r="O49" s="385"/>
      <c r="P49" s="385"/>
      <c r="Q49" s="430"/>
      <c r="R49" s="430"/>
      <c r="S49" s="432"/>
      <c r="T49" s="284"/>
    </row>
    <row r="50" spans="1:20" ht="12.75" customHeight="1">
      <c r="A50" s="400"/>
      <c r="B50" s="404" t="str">
        <f>пр.хода!A27</f>
        <v xml:space="preserve"> </v>
      </c>
      <c r="C50" s="406" t="e">
        <f>VLOOKUP(B50,пр.взв!B$7:E$22,2,FALSE)</f>
        <v>#N/A</v>
      </c>
      <c r="D50" s="394" t="e">
        <f>VLOOKUP(B50,пр.взв!B$7:E$22,3,FALSE)</f>
        <v>#N/A</v>
      </c>
      <c r="E50" s="394" t="e">
        <f>VLOOKUP(B50,пр.взв!B$7:E$22,4,FALSE)</f>
        <v>#N/A</v>
      </c>
      <c r="F50" s="394" t="e">
        <f>VLOOKUP(B50,пр.взв!B$7:F$22,5,FALSE)</f>
        <v>#N/A</v>
      </c>
      <c r="G50" s="439"/>
      <c r="H50" s="439"/>
      <c r="I50" s="285"/>
      <c r="J50" s="285"/>
      <c r="K50" s="400"/>
      <c r="L50" s="404" t="str">
        <f>пр.хода!I27</f>
        <v xml:space="preserve"> </v>
      </c>
      <c r="M50" s="406" t="e">
        <f>VLOOKUP(L50,пр.взв!B$7:F$22,2,FALSE)</f>
        <v>#N/A</v>
      </c>
      <c r="N50" s="394" t="e">
        <f>VLOOKUP(L50,пр.взв!B$7:F$22,3,FALSE)</f>
        <v>#N/A</v>
      </c>
      <c r="O50" s="394" t="e">
        <f>VLOOKUP(L50,пр.взв!B$7:F$22,4,FALSE)</f>
        <v>#N/A</v>
      </c>
      <c r="P50" s="394" t="e">
        <f>VLOOKUP(L50,пр.взв!B$7:F$22,5,FALSE)</f>
        <v>#N/A</v>
      </c>
      <c r="Q50" s="439"/>
      <c r="R50" s="439"/>
      <c r="S50" s="285"/>
      <c r="T50" s="285"/>
    </row>
    <row r="51" spans="1:20" ht="13.5" thickBot="1">
      <c r="A51" s="465"/>
      <c r="B51" s="405"/>
      <c r="C51" s="407"/>
      <c r="D51" s="395"/>
      <c r="E51" s="395"/>
      <c r="F51" s="395"/>
      <c r="G51" s="440"/>
      <c r="H51" s="440"/>
      <c r="I51" s="443"/>
      <c r="J51" s="443"/>
      <c r="K51" s="401"/>
      <c r="L51" s="405"/>
      <c r="M51" s="407"/>
      <c r="N51" s="395"/>
      <c r="O51" s="395"/>
      <c r="P51" s="395"/>
      <c r="Q51" s="440"/>
      <c r="R51" s="440"/>
      <c r="S51" s="443"/>
      <c r="T51" s="443"/>
    </row>
    <row r="52" spans="1:20" ht="12.75" customHeight="1">
      <c r="A52" s="413">
        <v>2</v>
      </c>
      <c r="B52" s="402" t="str">
        <f>пр.хода!A31</f>
        <v xml:space="preserve"> </v>
      </c>
      <c r="C52" s="398" t="e">
        <f>VLOOKUP(B52,пр.взв!B$7:E$22,2,FALSE)</f>
        <v>#N/A</v>
      </c>
      <c r="D52" s="384" t="e">
        <f>VLOOKUP(B52,пр.взв!B$7:E$22,3,FALSE)</f>
        <v>#N/A</v>
      </c>
      <c r="E52" s="384" t="e">
        <f>VLOOKUP(B52,пр.взв!B$7:E$22,4,FALSE)</f>
        <v>#N/A</v>
      </c>
      <c r="F52" s="384" t="e">
        <f>VLOOKUP(B52,пр.взв!B$7:F$22,5,FALSE)</f>
        <v>#N/A</v>
      </c>
      <c r="G52" s="444"/>
      <c r="H52" s="445"/>
      <c r="I52" s="441"/>
      <c r="J52" s="442"/>
      <c r="K52" s="400">
        <v>4</v>
      </c>
      <c r="L52" s="402" t="str">
        <f>пр.хода!I31</f>
        <v xml:space="preserve"> </v>
      </c>
      <c r="M52" s="398" t="e">
        <f>VLOOKUP(L52,пр.взв!B$7:F$22,2,FALSE)</f>
        <v>#N/A</v>
      </c>
      <c r="N52" s="384" t="e">
        <f>VLOOKUP(L52,пр.взв!B$7:F$22,3,FALSE)</f>
        <v>#N/A</v>
      </c>
      <c r="O52" s="384" t="e">
        <f>VLOOKUP(L52,пр.взв!B$7:F$22,4,FALSE)</f>
        <v>#N/A</v>
      </c>
      <c r="P52" s="384" t="e">
        <f>VLOOKUP(L52,пр.взв!B$7:F$22,5,FALSE)</f>
        <v>#N/A</v>
      </c>
      <c r="Q52" s="444"/>
      <c r="R52" s="445"/>
      <c r="S52" s="441"/>
      <c r="T52" s="442"/>
    </row>
    <row r="53" spans="1:20">
      <c r="A53" s="400"/>
      <c r="B53" s="403"/>
      <c r="C53" s="399"/>
      <c r="D53" s="385"/>
      <c r="E53" s="385"/>
      <c r="F53" s="385"/>
      <c r="G53" s="430"/>
      <c r="H53" s="430"/>
      <c r="I53" s="432"/>
      <c r="J53" s="284"/>
      <c r="K53" s="400"/>
      <c r="L53" s="403"/>
      <c r="M53" s="399"/>
      <c r="N53" s="385"/>
      <c r="O53" s="385"/>
      <c r="P53" s="385"/>
      <c r="Q53" s="430"/>
      <c r="R53" s="430"/>
      <c r="S53" s="432"/>
      <c r="T53" s="284"/>
    </row>
    <row r="54" spans="1:20" ht="12.75" customHeight="1">
      <c r="A54" s="400"/>
      <c r="B54" s="404" t="str">
        <f>пр.хода!A33</f>
        <v xml:space="preserve"> </v>
      </c>
      <c r="C54" s="406" t="e">
        <f>VLOOKUP(B54,пр.взв!B$7:E$22,2,FALSE)</f>
        <v>#N/A</v>
      </c>
      <c r="D54" s="394" t="e">
        <f>VLOOKUP(B54,пр.взв!B$7:E$22,3,FALSE)</f>
        <v>#N/A</v>
      </c>
      <c r="E54" s="394" t="e">
        <f>VLOOKUP(B54,пр.взв!B$7:E$22,4,FALSE)</f>
        <v>#N/A</v>
      </c>
      <c r="F54" s="394" t="e">
        <f>VLOOKUP(B54,пр.взв!B$7:F$22,5,FALSE)</f>
        <v>#N/A</v>
      </c>
      <c r="G54" s="439"/>
      <c r="H54" s="439"/>
      <c r="I54" s="285"/>
      <c r="J54" s="285"/>
      <c r="K54" s="400"/>
      <c r="L54" s="404" t="str">
        <f>пр.хода!I33</f>
        <v xml:space="preserve"> </v>
      </c>
      <c r="M54" s="406" t="e">
        <f>VLOOKUP(L54,пр.взв!B$7:F$22,2,FALSE)</f>
        <v>#N/A</v>
      </c>
      <c r="N54" s="394" t="e">
        <f>VLOOKUP(L54,пр.взв!B$7:F$22,3,FALSE)</f>
        <v>#N/A</v>
      </c>
      <c r="O54" s="394" t="e">
        <f>VLOOKUP(L54,пр.взв!B$7:F$22,4,FALSE)</f>
        <v>#N/A</v>
      </c>
      <c r="P54" s="394" t="e">
        <f>VLOOKUP(L54,пр.взв!B$7:F$22,5,FALSE)</f>
        <v>#N/A</v>
      </c>
      <c r="Q54" s="439"/>
      <c r="R54" s="439"/>
      <c r="S54" s="285"/>
      <c r="T54" s="285"/>
    </row>
    <row r="55" spans="1:20" ht="13.5" thickBot="1">
      <c r="A55" s="401"/>
      <c r="B55" s="405"/>
      <c r="C55" s="407"/>
      <c r="D55" s="395"/>
      <c r="E55" s="395"/>
      <c r="F55" s="395"/>
      <c r="G55" s="440"/>
      <c r="H55" s="440"/>
      <c r="I55" s="443"/>
      <c r="J55" s="443"/>
      <c r="K55" s="401"/>
      <c r="L55" s="405"/>
      <c r="M55" s="407"/>
      <c r="N55" s="395"/>
      <c r="O55" s="395"/>
      <c r="P55" s="395"/>
      <c r="Q55" s="440"/>
      <c r="R55" s="440"/>
      <c r="S55" s="443"/>
      <c r="T55" s="443"/>
    </row>
    <row r="56" spans="1:20">
      <c r="B56">
        <f>B43</f>
        <v>2</v>
      </c>
      <c r="C56" s="5" t="s">
        <v>92</v>
      </c>
      <c r="L56">
        <f>L43</f>
        <v>3</v>
      </c>
      <c r="M56" s="5" t="s">
        <v>92</v>
      </c>
    </row>
    <row r="57" spans="1:20" ht="15">
      <c r="A57" s="408" t="s">
        <v>94</v>
      </c>
      <c r="B57" s="408"/>
      <c r="C57" s="408"/>
      <c r="D57" s="408"/>
      <c r="E57" s="408"/>
      <c r="F57" s="408"/>
      <c r="G57" s="408"/>
      <c r="H57" s="408"/>
      <c r="I57" s="408"/>
      <c r="J57" s="408"/>
      <c r="K57" s="408" t="s">
        <v>94</v>
      </c>
      <c r="L57" s="408"/>
      <c r="M57" s="408"/>
      <c r="N57" s="408"/>
      <c r="O57" s="408"/>
      <c r="P57" s="408"/>
      <c r="Q57" s="408"/>
      <c r="R57" s="408"/>
      <c r="S57" s="408"/>
      <c r="T57" s="408"/>
    </row>
    <row r="58" spans="1:20" ht="16.5" thickBot="1">
      <c r="B58" s="75" t="s">
        <v>32</v>
      </c>
      <c r="C58" s="80"/>
      <c r="D58" s="80"/>
      <c r="E58" s="80"/>
      <c r="F58" s="80"/>
      <c r="G58" s="83" t="str">
        <f>G45</f>
        <v>В.к. 98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98 кг.</v>
      </c>
      <c r="R58" s="78"/>
      <c r="S58" s="78"/>
      <c r="T58" s="78"/>
    </row>
    <row r="59" spans="1:20" ht="12.75" customHeight="1">
      <c r="A59" s="414" t="s">
        <v>39</v>
      </c>
      <c r="B59" s="416" t="s">
        <v>4</v>
      </c>
      <c r="C59" s="418" t="s">
        <v>5</v>
      </c>
      <c r="D59" s="422" t="s">
        <v>12</v>
      </c>
      <c r="E59" s="390" t="s">
        <v>13</v>
      </c>
      <c r="F59" s="391"/>
      <c r="G59" s="418" t="s">
        <v>14</v>
      </c>
      <c r="H59" s="437" t="s">
        <v>40</v>
      </c>
      <c r="I59" s="409" t="s">
        <v>15</v>
      </c>
      <c r="J59" s="411" t="s">
        <v>16</v>
      </c>
      <c r="K59" s="414" t="s">
        <v>39</v>
      </c>
      <c r="L59" s="447" t="s">
        <v>4</v>
      </c>
      <c r="M59" s="418" t="s">
        <v>5</v>
      </c>
      <c r="N59" s="422" t="s">
        <v>12</v>
      </c>
      <c r="O59" s="386" t="s">
        <v>13</v>
      </c>
      <c r="P59" s="387"/>
      <c r="Q59" s="418" t="s">
        <v>14</v>
      </c>
      <c r="R59" s="437" t="s">
        <v>40</v>
      </c>
      <c r="S59" s="409" t="s">
        <v>15</v>
      </c>
      <c r="T59" s="411" t="s">
        <v>16</v>
      </c>
    </row>
    <row r="60" spans="1:20" ht="13.5" customHeight="1" thickBot="1">
      <c r="A60" s="415"/>
      <c r="B60" s="417" t="s">
        <v>33</v>
      </c>
      <c r="C60" s="419"/>
      <c r="D60" s="423"/>
      <c r="E60" s="392"/>
      <c r="F60" s="393"/>
      <c r="G60" s="419"/>
      <c r="H60" s="438"/>
      <c r="I60" s="410"/>
      <c r="J60" s="412" t="s">
        <v>34</v>
      </c>
      <c r="K60" s="415"/>
      <c r="L60" s="448" t="s">
        <v>33</v>
      </c>
      <c r="M60" s="419"/>
      <c r="N60" s="423"/>
      <c r="O60" s="388"/>
      <c r="P60" s="389"/>
      <c r="Q60" s="419"/>
      <c r="R60" s="438"/>
      <c r="S60" s="410"/>
      <c r="T60" s="412" t="s">
        <v>34</v>
      </c>
    </row>
    <row r="61" spans="1:20" ht="12.75" customHeight="1">
      <c r="A61" s="413">
        <v>1</v>
      </c>
      <c r="B61" s="446">
        <f>пр.хода!C26</f>
        <v>0</v>
      </c>
      <c r="C61" s="398" t="e">
        <f>VLOOKUP(B61,пр.взв!B$7:E$22,2,FALSE)</f>
        <v>#N/A</v>
      </c>
      <c r="D61" s="384" t="e">
        <f>VLOOKUP(B61,пр.взв!B$7:E$22,3,FALSE)</f>
        <v>#N/A</v>
      </c>
      <c r="E61" s="384" t="e">
        <f>VLOOKUP(B61,пр.взв!B$7:E$22,4,FALSE)</f>
        <v>#N/A</v>
      </c>
      <c r="F61" s="384" t="e">
        <f>VLOOKUP(B61,пр.взв!B$7:F$22,5,FALSE)</f>
        <v>#N/A</v>
      </c>
      <c r="G61" s="435"/>
      <c r="H61" s="429"/>
      <c r="I61" s="431"/>
      <c r="J61" s="422"/>
      <c r="K61" s="413">
        <v>2</v>
      </c>
      <c r="L61" s="396">
        <f>пр.хода!M26</f>
        <v>0</v>
      </c>
      <c r="M61" s="398" t="e">
        <f>VLOOKUP(L61,пр.взв!B$7:F$22,2,FALSE)</f>
        <v>#N/A</v>
      </c>
      <c r="N61" s="384" t="e">
        <f>VLOOKUP(L61,пр.взв!B$7:F$22,3,FALSE)</f>
        <v>#N/A</v>
      </c>
      <c r="O61" s="384" t="e">
        <f>VLOOKUP(L61,пр.взв!B$7:F$22,4,FALSE)</f>
        <v>#N/A</v>
      </c>
      <c r="P61" s="384" t="e">
        <f>VLOOKUP(L61,пр.взв!B$7:F$22,5,FALSE)</f>
        <v>#N/A</v>
      </c>
      <c r="Q61" s="444"/>
      <c r="R61" s="445"/>
      <c r="S61" s="441"/>
      <c r="T61" s="442"/>
    </row>
    <row r="62" spans="1:20">
      <c r="A62" s="400"/>
      <c r="B62" s="397"/>
      <c r="C62" s="399"/>
      <c r="D62" s="385"/>
      <c r="E62" s="385"/>
      <c r="F62" s="385"/>
      <c r="G62" s="430"/>
      <c r="H62" s="430"/>
      <c r="I62" s="432"/>
      <c r="J62" s="284"/>
      <c r="K62" s="400"/>
      <c r="L62" s="397"/>
      <c r="M62" s="399"/>
      <c r="N62" s="385"/>
      <c r="O62" s="385"/>
      <c r="P62" s="385"/>
      <c r="Q62" s="430"/>
      <c r="R62" s="430"/>
      <c r="S62" s="432"/>
      <c r="T62" s="284"/>
    </row>
    <row r="63" spans="1:20" ht="12.75" customHeight="1">
      <c r="A63" s="400"/>
      <c r="B63" s="420">
        <f>пр.хода!C32</f>
        <v>0</v>
      </c>
      <c r="C63" s="406" t="e">
        <f>VLOOKUP(B63,пр.взв!B$7:E$22,2,FALSE)</f>
        <v>#N/A</v>
      </c>
      <c r="D63" s="394" t="e">
        <f>VLOOKUP(B63,пр.взв!B$7:E$22,3,FALSE)</f>
        <v>#N/A</v>
      </c>
      <c r="E63" s="394" t="e">
        <f>VLOOKUP(B63,пр.взв!B$7:E$22,4,FALSE)</f>
        <v>#N/A</v>
      </c>
      <c r="F63" s="394" t="e">
        <f>VLOOKUP(B63,пр.взв!B$7:F$22,5,FALSE)</f>
        <v>#N/A</v>
      </c>
      <c r="G63" s="439"/>
      <c r="H63" s="439"/>
      <c r="I63" s="285"/>
      <c r="J63" s="285"/>
      <c r="K63" s="400"/>
      <c r="L63" s="420">
        <f>пр.хода!M32</f>
        <v>0</v>
      </c>
      <c r="M63" s="406" t="e">
        <f>VLOOKUP(L63,пр.взв!B$7:F$22,2,FALSE)</f>
        <v>#N/A</v>
      </c>
      <c r="N63" s="394" t="e">
        <f>VLOOKUP(L63,пр.взв!B$7:F$22,3,FALSE)</f>
        <v>#N/A</v>
      </c>
      <c r="O63" s="394" t="e">
        <f>VLOOKUP(L63,пр.взв!B$7:F$22,4,FALSE)</f>
        <v>#N/A</v>
      </c>
      <c r="P63" s="394" t="e">
        <f>VLOOKUP(L63,пр.взв!B$7:F$22,5,FALSE)</f>
        <v>#N/A</v>
      </c>
      <c r="Q63" s="439"/>
      <c r="R63" s="439"/>
      <c r="S63" s="285"/>
      <c r="T63" s="285"/>
    </row>
    <row r="64" spans="1:20" ht="13.5" thickBot="1">
      <c r="A64" s="401"/>
      <c r="B64" s="421"/>
      <c r="C64" s="407"/>
      <c r="D64" s="395"/>
      <c r="E64" s="395"/>
      <c r="F64" s="395"/>
      <c r="G64" s="440"/>
      <c r="H64" s="440"/>
      <c r="I64" s="443"/>
      <c r="J64" s="443"/>
      <c r="K64" s="401"/>
      <c r="L64" s="421"/>
      <c r="M64" s="407"/>
      <c r="N64" s="395"/>
      <c r="O64" s="395"/>
      <c r="P64" s="395"/>
      <c r="Q64" s="440"/>
      <c r="R64" s="440"/>
      <c r="S64" s="443"/>
      <c r="T64" s="443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76" t="str">
        <f>пр.взв!B2</f>
        <v>Первенство России по самбо среди юниоров и юниорок до 24 лет  ЕКП № 1802, отбор на Кубок Европы 2022г.</v>
      </c>
      <c r="B1" s="477"/>
      <c r="C1" s="477"/>
      <c r="D1" s="477"/>
      <c r="E1" s="477"/>
      <c r="F1" s="477"/>
      <c r="G1" s="477"/>
      <c r="H1" s="477"/>
      <c r="I1" s="477"/>
    </row>
    <row r="2" spans="1:9" ht="27" customHeight="1">
      <c r="D2" s="53"/>
      <c r="E2" s="68" t="str">
        <f>HYPERLINK(пр.взв!D4)</f>
        <v>В.к. 98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84" t="s">
        <v>11</v>
      </c>
      <c r="B5" s="284" t="s">
        <v>4</v>
      </c>
      <c r="C5" s="442" t="s">
        <v>5</v>
      </c>
      <c r="D5" s="284" t="s">
        <v>12</v>
      </c>
      <c r="E5" s="467" t="s">
        <v>13</v>
      </c>
      <c r="F5" s="468"/>
      <c r="G5" s="284" t="s">
        <v>14</v>
      </c>
      <c r="H5" s="284" t="s">
        <v>15</v>
      </c>
      <c r="I5" s="284" t="s">
        <v>16</v>
      </c>
    </row>
    <row r="6" spans="1:9">
      <c r="A6" s="285"/>
      <c r="B6" s="285"/>
      <c r="C6" s="285"/>
      <c r="D6" s="285"/>
      <c r="E6" s="469"/>
      <c r="F6" s="470"/>
      <c r="G6" s="285"/>
      <c r="H6" s="285"/>
      <c r="I6" s="285"/>
    </row>
    <row r="7" spans="1:9">
      <c r="A7" s="480"/>
      <c r="B7" s="461">
        <f>пр.хода!D29</f>
        <v>0</v>
      </c>
      <c r="C7" s="471" t="e">
        <f>VLOOKUP(B7,пр.взв!B7:D22,2,FALSE)</f>
        <v>#N/A</v>
      </c>
      <c r="D7" s="471" t="e">
        <f>VLOOKUP(B7,пр.взв!B7:F38,3,FALSE)</f>
        <v>#N/A</v>
      </c>
      <c r="E7" s="478" t="e">
        <f>VLOOKUP(B7,пр.взв!B7:F38,4,FALSE)</f>
        <v>#N/A</v>
      </c>
      <c r="F7" s="471" t="e">
        <f>VLOOKUP(B7,пр.взв!B7:G28,5,FALSE)</f>
        <v>#N/A</v>
      </c>
      <c r="G7" s="430"/>
      <c r="H7" s="432"/>
      <c r="I7" s="284"/>
    </row>
    <row r="8" spans="1:9">
      <c r="A8" s="480"/>
      <c r="B8" s="284"/>
      <c r="C8" s="471"/>
      <c r="D8" s="471"/>
      <c r="E8" s="478"/>
      <c r="F8" s="471"/>
      <c r="G8" s="430"/>
      <c r="H8" s="432"/>
      <c r="I8" s="284"/>
    </row>
    <row r="9" spans="1:9">
      <c r="A9" s="479"/>
      <c r="B9" s="461" t="str">
        <f>пр.хода!C35</f>
        <v/>
      </c>
      <c r="C9" s="471" t="e">
        <f>VLOOKUP(B9,пр.взв!B7:D22,2,FALSE)</f>
        <v>#N/A</v>
      </c>
      <c r="D9" s="471" t="e">
        <f>VLOOKUP(B9,пр.взв!B7:F40,3,FALSE)</f>
        <v>#N/A</v>
      </c>
      <c r="E9" s="478" t="e">
        <f>VLOOKUP(B9,пр.взв!B7:F40,4,FALSE)</f>
        <v>#N/A</v>
      </c>
      <c r="F9" s="471" t="e">
        <f>VLOOKUP(B9,пр.взв!B7:G30,5,FALSE)</f>
        <v>#N/A</v>
      </c>
      <c r="G9" s="430"/>
      <c r="H9" s="284"/>
      <c r="I9" s="284"/>
    </row>
    <row r="10" spans="1:9">
      <c r="A10" s="479"/>
      <c r="B10" s="284"/>
      <c r="C10" s="471"/>
      <c r="D10" s="471"/>
      <c r="E10" s="478"/>
      <c r="F10" s="471"/>
      <c r="G10" s="430"/>
      <c r="H10" s="284"/>
      <c r="I10" s="284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98 кг.</v>
      </c>
    </row>
    <row r="17" spans="1:9" ht="12.75" customHeight="1">
      <c r="A17" s="284" t="s">
        <v>11</v>
      </c>
      <c r="B17" s="284" t="s">
        <v>4</v>
      </c>
      <c r="C17" s="442" t="s">
        <v>5</v>
      </c>
      <c r="D17" s="284" t="s">
        <v>12</v>
      </c>
      <c r="E17" s="467" t="s">
        <v>13</v>
      </c>
      <c r="F17" s="468"/>
      <c r="G17" s="284" t="s">
        <v>14</v>
      </c>
      <c r="H17" s="284" t="s">
        <v>15</v>
      </c>
      <c r="I17" s="284" t="s">
        <v>16</v>
      </c>
    </row>
    <row r="18" spans="1:9">
      <c r="A18" s="285"/>
      <c r="B18" s="285"/>
      <c r="C18" s="285"/>
      <c r="D18" s="285"/>
      <c r="E18" s="469"/>
      <c r="F18" s="470"/>
      <c r="G18" s="285"/>
      <c r="H18" s="285"/>
      <c r="I18" s="285"/>
    </row>
    <row r="19" spans="1:9">
      <c r="A19" s="480"/>
      <c r="B19" s="461">
        <f>пр.хода!N29</f>
        <v>0</v>
      </c>
      <c r="C19" s="481" t="e">
        <f>VLOOKUP(B19,пр.взв!B1:D22,2,FALSE)</f>
        <v>#N/A</v>
      </c>
      <c r="D19" s="481" t="e">
        <f>VLOOKUP(B19,пр.взв!B1:F22,3,FALSE)</f>
        <v>#N/A</v>
      </c>
      <c r="E19" s="472" t="e">
        <f>VLOOKUP(B19,пр.взв!B1:F22,4,FALSE)</f>
        <v>#N/A</v>
      </c>
      <c r="F19" s="471" t="e">
        <f>VLOOKUP(B19,пр.взв!B1:G22,5,FALSE)</f>
        <v>#N/A</v>
      </c>
      <c r="G19" s="475"/>
      <c r="H19" s="432"/>
      <c r="I19" s="284"/>
    </row>
    <row r="20" spans="1:9">
      <c r="A20" s="480"/>
      <c r="B20" s="284"/>
      <c r="C20" s="482"/>
      <c r="D20" s="482"/>
      <c r="E20" s="474"/>
      <c r="F20" s="471"/>
      <c r="G20" s="475"/>
      <c r="H20" s="432"/>
      <c r="I20" s="284"/>
    </row>
    <row r="21" spans="1:9">
      <c r="A21" s="479"/>
      <c r="B21" s="461" t="str">
        <f>пр.хода!M35</f>
        <v/>
      </c>
      <c r="C21" s="481" t="e">
        <f>VLOOKUP(B21,пр.взв!B1:D22,2,FALSE)</f>
        <v>#N/A</v>
      </c>
      <c r="D21" s="481" t="e">
        <f>VLOOKUP(B21,пр.взв!B1:F22,3,FALSE)</f>
        <v>#N/A</v>
      </c>
      <c r="E21" s="472" t="e">
        <f>VLOOKUP(B21,пр.взв!B2:F22,4,FALSE)</f>
        <v>#N/A</v>
      </c>
      <c r="F21" s="471" t="e">
        <f>VLOOKUP(B21,пр.взв!B1:G22,5,FALSE)</f>
        <v>#N/A</v>
      </c>
      <c r="G21" s="475"/>
      <c r="H21" s="284"/>
      <c r="I21" s="284"/>
    </row>
    <row r="22" spans="1:9">
      <c r="A22" s="479"/>
      <c r="B22" s="284"/>
      <c r="C22" s="482"/>
      <c r="D22" s="482"/>
      <c r="E22" s="473"/>
      <c r="F22" s="471"/>
      <c r="G22" s="475"/>
      <c r="H22" s="284"/>
      <c r="I22" s="284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98 кг.</v>
      </c>
    </row>
    <row r="30" spans="1:9" ht="12.75" customHeight="1">
      <c r="A30" s="284" t="s">
        <v>11</v>
      </c>
      <c r="B30" s="284" t="s">
        <v>4</v>
      </c>
      <c r="C30" s="442" t="s">
        <v>5</v>
      </c>
      <c r="D30" s="284" t="s">
        <v>12</v>
      </c>
      <c r="E30" s="467" t="s">
        <v>13</v>
      </c>
      <c r="F30" s="468"/>
      <c r="G30" s="284" t="s">
        <v>14</v>
      </c>
      <c r="H30" s="284" t="s">
        <v>15</v>
      </c>
      <c r="I30" s="284" t="s">
        <v>16</v>
      </c>
    </row>
    <row r="31" spans="1:9">
      <c r="A31" s="285"/>
      <c r="B31" s="285"/>
      <c r="C31" s="285"/>
      <c r="D31" s="285"/>
      <c r="E31" s="469"/>
      <c r="F31" s="470"/>
      <c r="G31" s="285"/>
      <c r="H31" s="285"/>
      <c r="I31" s="285"/>
    </row>
    <row r="32" spans="1:9">
      <c r="A32" s="480"/>
      <c r="B32" s="461">
        <f>пр.хода!I14</f>
        <v>0</v>
      </c>
      <c r="C32" s="471" t="e">
        <f>VLOOKUP(B32,пр.взв!B3:D22,2,FALSE)</f>
        <v>#N/A</v>
      </c>
      <c r="D32" s="471" t="e">
        <f>VLOOKUP(B32,пр.взв!B3:F22,3,FALSE)</f>
        <v>#N/A</v>
      </c>
      <c r="E32" s="478" t="e">
        <f>VLOOKUP(B32,пр.взв!B3:F22,4,FALSE)</f>
        <v>#N/A</v>
      </c>
      <c r="F32" s="471" t="e">
        <f>VLOOKUP(B32,пр.взв!B3:G22,5,FALSE)</f>
        <v>#N/A</v>
      </c>
      <c r="G32" s="430"/>
      <c r="H32" s="432"/>
      <c r="I32" s="284"/>
    </row>
    <row r="33" spans="1:9">
      <c r="A33" s="480"/>
      <c r="B33" s="284"/>
      <c r="C33" s="471"/>
      <c r="D33" s="471"/>
      <c r="E33" s="478"/>
      <c r="F33" s="471"/>
      <c r="G33" s="430"/>
      <c r="H33" s="432"/>
      <c r="I33" s="284"/>
    </row>
    <row r="34" spans="1:9">
      <c r="A34" s="479"/>
      <c r="B34" s="461">
        <f>пр.хода!M14</f>
        <v>0</v>
      </c>
      <c r="C34" s="471" t="e">
        <f>VLOOKUP(B34,пр.взв!B3:D22,2,FALSE)</f>
        <v>#N/A</v>
      </c>
      <c r="D34" s="471" t="e">
        <f>VLOOKUP(B34,пр.взв!B3:F22,3,FALSE)</f>
        <v>#N/A</v>
      </c>
      <c r="E34" s="478" t="e">
        <f>VLOOKUP(B34,пр.взв!B3:F22,4,FALSE)</f>
        <v>#N/A</v>
      </c>
      <c r="F34" s="471" t="e">
        <f>VLOOKUP(B34,пр.взв!B3:G22,5,FALSE)</f>
        <v>#N/A</v>
      </c>
      <c r="G34" s="430"/>
      <c r="H34" s="284"/>
      <c r="I34" s="284"/>
    </row>
    <row r="35" spans="1:9">
      <c r="A35" s="479"/>
      <c r="B35" s="284"/>
      <c r="C35" s="471"/>
      <c r="D35" s="471"/>
      <c r="E35" s="478"/>
      <c r="F35" s="471"/>
      <c r="G35" s="430"/>
      <c r="H35" s="284"/>
      <c r="I35" s="284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90</v>
      </c>
      <c r="B42" s="49"/>
      <c r="C42" s="49"/>
      <c r="D42" s="49"/>
      <c r="E42" s="4"/>
      <c r="F42" s="57" t="s">
        <v>90</v>
      </c>
      <c r="G42" s="51" t="s">
        <v>90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90</v>
      </c>
      <c r="C44" s="49"/>
      <c r="D44" s="49"/>
      <c r="E44" s="50"/>
      <c r="F44" s="57" t="s">
        <v>90</v>
      </c>
      <c r="G44" s="52" t="s">
        <v>90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</sheetPr>
  <dimension ref="A1:AO38"/>
  <sheetViews>
    <sheetView workbookViewId="0">
      <selection activeCell="F11" sqref="F11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14.5703125" customWidth="1"/>
    <col min="7" max="7" width="8.85546875" customWidth="1"/>
    <col min="8" max="8" width="18.85546875" customWidth="1"/>
    <col min="10" max="10" width="15.7109375" customWidth="1"/>
    <col min="11" max="11" width="3.140625" customWidth="1"/>
    <col min="12" max="18" width="9.140625" hidden="1" customWidth="1"/>
    <col min="19" max="19" width="5.7109375" hidden="1" customWidth="1"/>
    <col min="20" max="20" width="16.140625" hidden="1" customWidth="1"/>
    <col min="21" max="35" width="0" hidden="1" customWidth="1"/>
  </cols>
  <sheetData>
    <row r="1" spans="1:41" ht="23.25" customHeight="1" thickBot="1">
      <c r="A1" s="307" t="s">
        <v>22</v>
      </c>
      <c r="B1" s="307"/>
      <c r="C1" s="307"/>
      <c r="D1" s="307"/>
      <c r="E1" s="307"/>
      <c r="F1" s="307"/>
      <c r="G1" s="307"/>
      <c r="H1" s="307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>
        <f ca="1">SUMIF(T6:T11,V1,$K$14:$K$17)</f>
        <v>2</v>
      </c>
      <c r="U1" s="192"/>
      <c r="V1" s="192" t="e">
        <f>J12</f>
        <v>#N/A</v>
      </c>
    </row>
    <row r="2" spans="1:41" ht="52.5" customHeight="1" thickBot="1">
      <c r="A2" s="110"/>
      <c r="B2" s="495" t="s">
        <v>71</v>
      </c>
      <c r="C2" s="495"/>
      <c r="D2" s="496" t="str">
        <f>пр.взв!B2</f>
        <v>Первенство России по самбо среди юниоров и юниорок до 24 лет  ЕКП № 1802, отбор на Кубок Европы 2022г.</v>
      </c>
      <c r="E2" s="497"/>
      <c r="F2" s="497"/>
      <c r="G2" s="497"/>
      <c r="H2" s="498"/>
      <c r="T2" s="295">
        <f>SUMIF(J14:J16,V1,$K$14:$K$17)</f>
        <v>2</v>
      </c>
      <c r="U2" s="295"/>
      <c r="V2" s="295"/>
      <c r="W2" s="295"/>
      <c r="X2" s="295"/>
    </row>
    <row r="3" spans="1:41" ht="24.75" customHeight="1" thickBot="1">
      <c r="A3" s="110"/>
      <c r="B3" s="503" t="str">
        <f>пр.взв!A3</f>
        <v>17-21 января 2022года                          г.Кстово</v>
      </c>
      <c r="C3" s="503"/>
      <c r="D3" s="503"/>
      <c r="E3" s="503"/>
      <c r="F3" s="503"/>
      <c r="G3" s="495" t="str">
        <f>пр.взв!D4</f>
        <v>В.к. 98 кг.</v>
      </c>
      <c r="H3" s="504"/>
    </row>
    <row r="4" spans="1:41" ht="12.75" customHeight="1" thickBot="1">
      <c r="A4" s="505" t="s">
        <v>44</v>
      </c>
      <c r="B4" s="507" t="s">
        <v>4</v>
      </c>
      <c r="C4" s="509" t="s">
        <v>5</v>
      </c>
      <c r="D4" s="391" t="s">
        <v>6</v>
      </c>
      <c r="E4" s="390" t="s">
        <v>7</v>
      </c>
      <c r="F4" s="391"/>
      <c r="G4" s="501" t="s">
        <v>9</v>
      </c>
      <c r="H4" s="499" t="s">
        <v>8</v>
      </c>
      <c r="J4" s="491" t="e">
        <f>IFERROR(LEFT(F6,FIND(",",F6)-1),F6)</f>
        <v>#N/A</v>
      </c>
      <c r="K4" s="492">
        <v>1</v>
      </c>
      <c r="L4" s="493" t="s">
        <v>52</v>
      </c>
      <c r="M4" s="488" t="s">
        <v>53</v>
      </c>
      <c r="N4" s="483"/>
      <c r="O4" s="484"/>
      <c r="P4" s="484"/>
      <c r="Q4" s="485"/>
      <c r="S4" s="486" t="s">
        <v>52</v>
      </c>
      <c r="T4" s="488" t="s">
        <v>53</v>
      </c>
      <c r="U4" s="483"/>
      <c r="V4" s="484"/>
      <c r="W4" s="484"/>
      <c r="X4" s="485"/>
      <c r="AC4" s="486" t="s">
        <v>52</v>
      </c>
      <c r="AD4" s="488" t="s">
        <v>53</v>
      </c>
      <c r="AE4" s="483"/>
      <c r="AF4" s="484"/>
      <c r="AG4" s="484"/>
      <c r="AH4" s="485"/>
      <c r="AJ4" s="486" t="s">
        <v>52</v>
      </c>
      <c r="AK4" s="488" t="s">
        <v>53</v>
      </c>
      <c r="AL4" s="483"/>
      <c r="AM4" s="484"/>
      <c r="AN4" s="484"/>
      <c r="AO4" s="485"/>
    </row>
    <row r="5" spans="1:41" ht="16.5" thickBot="1">
      <c r="A5" s="506"/>
      <c r="B5" s="508"/>
      <c r="C5" s="510"/>
      <c r="D5" s="470"/>
      <c r="E5" s="469"/>
      <c r="F5" s="470"/>
      <c r="G5" s="502"/>
      <c r="H5" s="500"/>
      <c r="J5" s="491"/>
      <c r="K5" s="492"/>
      <c r="L5" s="494"/>
      <c r="M5" s="490"/>
      <c r="N5" s="91">
        <v>1</v>
      </c>
      <c r="O5" s="92">
        <v>2</v>
      </c>
      <c r="P5" s="92">
        <v>3</v>
      </c>
      <c r="Q5" s="93">
        <v>5</v>
      </c>
      <c r="S5" s="487"/>
      <c r="T5" s="490"/>
      <c r="U5" s="91">
        <v>1</v>
      </c>
      <c r="V5" s="92">
        <v>2</v>
      </c>
      <c r="W5" s="92">
        <v>3</v>
      </c>
      <c r="X5" s="93">
        <v>5</v>
      </c>
      <c r="Z5" s="193">
        <v>1</v>
      </c>
      <c r="AB5" s="193">
        <v>2</v>
      </c>
      <c r="AC5" s="487"/>
      <c r="AD5" s="489"/>
      <c r="AE5" s="194">
        <v>1</v>
      </c>
      <c r="AF5" s="195">
        <v>2</v>
      </c>
      <c r="AG5" s="195">
        <v>3</v>
      </c>
      <c r="AH5" s="196">
        <v>5</v>
      </c>
      <c r="AJ5" s="487"/>
      <c r="AK5" s="489"/>
      <c r="AL5" s="194">
        <v>1</v>
      </c>
      <c r="AM5" s="195">
        <v>2</v>
      </c>
      <c r="AN5" s="195">
        <v>3</v>
      </c>
      <c r="AO5" s="196">
        <v>5</v>
      </c>
    </row>
    <row r="6" spans="1:41" ht="24" customHeight="1">
      <c r="A6" s="279">
        <v>1</v>
      </c>
      <c r="B6" s="272">
        <f>пр.хода!H8</f>
        <v>0</v>
      </c>
      <c r="C6" s="273" t="e">
        <f>VLOOKUP(B6,пр.взв!B7:H22,2,FALSE)</f>
        <v>#N/A</v>
      </c>
      <c r="D6" s="273" t="e">
        <f>VLOOKUP(B6,пр.взв!B7:H77,3,FALSE)</f>
        <v>#N/A</v>
      </c>
      <c r="E6" s="274" t="e">
        <f>VLOOKUP(B6,пр.взв!B7:H22,4,FALSE)</f>
        <v>#N/A</v>
      </c>
      <c r="F6" s="273" t="e">
        <f>VLOOKUP(B6,пр.взв!B7:H22,5,FALSE)</f>
        <v>#N/A</v>
      </c>
      <c r="G6" s="273" t="e">
        <f>VLOOKUP(B6,пр.взв!B7:H22,6,FALSE)</f>
        <v>#N/A</v>
      </c>
      <c r="H6" s="275" t="e">
        <f>VLOOKUP(B6,пр.взв!B7:H79,7,FALSE)</f>
        <v>#N/A</v>
      </c>
      <c r="J6" s="491" t="s">
        <v>54</v>
      </c>
      <c r="K6" s="492">
        <v>1</v>
      </c>
      <c r="L6" s="94">
        <v>1</v>
      </c>
      <c r="M6" s="95" t="s">
        <v>55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e">
        <f>J4</f>
        <v>#N/A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2</v>
      </c>
      <c r="X6" s="97">
        <f>SUMIF($J$14:$J$17,T6,$K$14:$K$17)</f>
        <v>2</v>
      </c>
      <c r="Z6" t="e">
        <f>T6</f>
        <v>#N/A</v>
      </c>
      <c r="AB6" t="e">
        <f>Z6</f>
        <v>#N/A</v>
      </c>
      <c r="AC6" s="197">
        <v>1</v>
      </c>
      <c r="AD6" s="198" t="e">
        <f>AB6</f>
        <v>#N/A</v>
      </c>
      <c r="AE6" s="199">
        <f t="shared" ref="AE6:AE11" si="3">SUMIF($J$4:$J$7,AD6,$K$4:$K$7)</f>
        <v>1</v>
      </c>
      <c r="AF6" s="199">
        <f t="shared" ref="AF6:AF11" ca="1" si="4">SUMIF($I$8:$J$9,AD6,$K$6:$K$9)</f>
        <v>1</v>
      </c>
      <c r="AG6" s="199">
        <f t="shared" ref="AG6:AG11" si="5">SUMIF($J$10:$J$13,AD6,$K$10:$K$13)</f>
        <v>2</v>
      </c>
      <c r="AH6" s="200">
        <f t="shared" ref="AH6:AH11" si="6">SUMIF($J$14:$J$17,AD6,$K$14:$K$17)</f>
        <v>2</v>
      </c>
      <c r="AJ6" s="197">
        <v>1</v>
      </c>
      <c r="AK6" s="198" t="e">
        <f t="shared" ref="AK6:AO11" si="7">IF(AD6=0," ",AD6)</f>
        <v>#N/A</v>
      </c>
      <c r="AL6" s="199">
        <f t="shared" si="7"/>
        <v>1</v>
      </c>
      <c r="AM6" s="199">
        <f t="shared" ca="1" si="7"/>
        <v>1</v>
      </c>
      <c r="AN6" s="199">
        <f t="shared" si="7"/>
        <v>2</v>
      </c>
      <c r="AO6" s="200">
        <f t="shared" si="7"/>
        <v>2</v>
      </c>
    </row>
    <row r="7" spans="1:41" ht="24" customHeight="1">
      <c r="A7" s="280">
        <v>2</v>
      </c>
      <c r="B7" s="269" t="str">
        <f>пр.хода!H20</f>
        <v/>
      </c>
      <c r="C7" s="270" t="e">
        <f>VLOOKUP(B7,пр.взв!B1:H22,2,FALSE)</f>
        <v>#N/A</v>
      </c>
      <c r="D7" s="270" t="e">
        <f>VLOOKUP(B7,пр.взв!B1:H79,3,FALSE)</f>
        <v>#N/A</v>
      </c>
      <c r="E7" s="271" t="e">
        <f>VLOOKUP(B7,пр.взв!B1:H22,4,FALSE)</f>
        <v>#N/A</v>
      </c>
      <c r="F7" s="270" t="e">
        <f>VLOOKUP(B7,пр.взв!B1:H22,5,FALSE)</f>
        <v>#N/A</v>
      </c>
      <c r="G7" s="270" t="e">
        <f>VLOOKUP(B7,пр.взв!B1:H22,6,FALSE)</f>
        <v>#N/A</v>
      </c>
      <c r="H7" s="276" t="e">
        <f>VLOOKUP(B7,пр.взв!B1:H81,7,FALSE)</f>
        <v>#N/A</v>
      </c>
      <c r="J7" s="491"/>
      <c r="K7" s="492"/>
      <c r="L7" s="98">
        <v>2</v>
      </c>
      <c r="M7" s="95" t="s">
        <v>56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e">
        <f>IF(J8=J4," ",J8)</f>
        <v>#N/A</v>
      </c>
      <c r="U7" s="96">
        <f t="shared" si="0"/>
        <v>1</v>
      </c>
      <c r="V7" s="96">
        <f t="shared" ca="1" si="1"/>
        <v>1</v>
      </c>
      <c r="W7" s="97">
        <f t="shared" si="2"/>
        <v>2</v>
      </c>
      <c r="X7" s="97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201">
        <v>2</v>
      </c>
      <c r="AD7" s="202" t="e">
        <f>IF(OR(AB7=" "),AB8,AB7)</f>
        <v>#N/A</v>
      </c>
      <c r="AE7" s="203">
        <f t="shared" si="3"/>
        <v>1</v>
      </c>
      <c r="AF7" s="203">
        <f t="shared" ca="1" si="4"/>
        <v>1</v>
      </c>
      <c r="AG7" s="203">
        <f t="shared" si="5"/>
        <v>2</v>
      </c>
      <c r="AH7" s="204">
        <f t="shared" si="6"/>
        <v>2</v>
      </c>
      <c r="AJ7" s="201">
        <v>2</v>
      </c>
      <c r="AK7" s="202" t="e">
        <f t="shared" si="7"/>
        <v>#N/A</v>
      </c>
      <c r="AL7" s="203">
        <f t="shared" si="7"/>
        <v>1</v>
      </c>
      <c r="AM7" s="203">
        <f t="shared" ca="1" si="7"/>
        <v>1</v>
      </c>
      <c r="AN7" s="203">
        <f t="shared" si="7"/>
        <v>2</v>
      </c>
      <c r="AO7" s="204">
        <f t="shared" si="7"/>
        <v>2</v>
      </c>
    </row>
    <row r="8" spans="1:41" ht="24" customHeight="1">
      <c r="A8" s="280">
        <v>3</v>
      </c>
      <c r="B8" s="269">
        <f>пр.хода!E32</f>
        <v>0</v>
      </c>
      <c r="C8" s="270" t="e">
        <f>VLOOKUP(B8,пр.взв!B1:H22,2,FALSE)</f>
        <v>#N/A</v>
      </c>
      <c r="D8" s="270" t="e">
        <f>VLOOKUP(B8,пр.взв!B1:H81,3,FALSE)</f>
        <v>#N/A</v>
      </c>
      <c r="E8" s="271" t="e">
        <f>VLOOKUP(B8,пр.взв!B1:H22,4,FALSE)</f>
        <v>#N/A</v>
      </c>
      <c r="F8" s="270" t="e">
        <f>VLOOKUP(B8,пр.взв!B1:H22,5,FALSE)</f>
        <v>#N/A</v>
      </c>
      <c r="G8" s="270" t="e">
        <f>VLOOKUP(B8,пр.взв!B1:H22,6,FALSE)</f>
        <v>#N/A</v>
      </c>
      <c r="H8" s="276" t="e">
        <f>VLOOKUP(B8,пр.взв!B1:H83,7,FALSE)</f>
        <v>#N/A</v>
      </c>
      <c r="J8" s="492" t="e">
        <f>IFERROR(LEFT(F7,FIND(",",F7)-1),F7)</f>
        <v>#N/A</v>
      </c>
      <c r="K8" s="492">
        <v>1</v>
      </c>
      <c r="L8" s="99">
        <v>3</v>
      </c>
      <c r="M8" s="95" t="s">
        <v>57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e">
        <f>IF(OR(J10=J4,J10=J8)," ",J10)</f>
        <v>#N/A</v>
      </c>
      <c r="U8" s="96">
        <f t="shared" si="0"/>
        <v>1</v>
      </c>
      <c r="V8" s="96">
        <f t="shared" ca="1" si="1"/>
        <v>1</v>
      </c>
      <c r="W8" s="97">
        <f t="shared" si="2"/>
        <v>2</v>
      </c>
      <c r="X8" s="97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205">
        <v>3</v>
      </c>
      <c r="AD8" s="202" t="e">
        <f>IF(OR(AB8=" ",AB7=" "),AB9,AB8)</f>
        <v>#N/A</v>
      </c>
      <c r="AE8" s="203">
        <f t="shared" si="3"/>
        <v>1</v>
      </c>
      <c r="AF8" s="203">
        <f t="shared" ca="1" si="4"/>
        <v>1</v>
      </c>
      <c r="AG8" s="203">
        <f t="shared" si="5"/>
        <v>2</v>
      </c>
      <c r="AH8" s="204">
        <f t="shared" si="6"/>
        <v>2</v>
      </c>
      <c r="AJ8" s="205">
        <v>3</v>
      </c>
      <c r="AK8" s="202" t="e">
        <f t="shared" si="7"/>
        <v>#N/A</v>
      </c>
      <c r="AL8" s="203">
        <f t="shared" si="7"/>
        <v>1</v>
      </c>
      <c r="AM8" s="203">
        <f t="shared" ca="1" si="7"/>
        <v>1</v>
      </c>
      <c r="AN8" s="203">
        <f t="shared" si="7"/>
        <v>2</v>
      </c>
      <c r="AO8" s="204">
        <f t="shared" si="7"/>
        <v>2</v>
      </c>
    </row>
    <row r="9" spans="1:41" ht="24" customHeight="1">
      <c r="A9" s="280">
        <v>3</v>
      </c>
      <c r="B9" s="269">
        <f>пр.хода!Q32</f>
        <v>0</v>
      </c>
      <c r="C9" s="270" t="e">
        <f>VLOOKUP(B9,пр.взв!B1:H22,2,FALSE)</f>
        <v>#N/A</v>
      </c>
      <c r="D9" s="270" t="e">
        <f>VLOOKUP(B9,пр.взв!B1:H83,3,FALSE)</f>
        <v>#N/A</v>
      </c>
      <c r="E9" s="271" t="e">
        <f>VLOOKUP(B9,пр.взв!B1:H22,4,FALSE)</f>
        <v>#N/A</v>
      </c>
      <c r="F9" s="270" t="e">
        <f>VLOOKUP(B9,пр.взв!B1:H22,5,FALSE)</f>
        <v>#N/A</v>
      </c>
      <c r="G9" s="270" t="e">
        <f>VLOOKUP(B9,пр.взв!B1:H22,6,FALSE)</f>
        <v>#N/A</v>
      </c>
      <c r="H9" s="276" t="e">
        <f>VLOOKUP(B9,пр.взв!B1:H85,7,FALSE)</f>
        <v>#N/A</v>
      </c>
      <c r="J9" s="492"/>
      <c r="K9" s="492"/>
      <c r="L9" s="98">
        <v>4</v>
      </c>
      <c r="M9" s="95" t="s">
        <v>58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e">
        <f>IF(OR(J12=J4,J12=J8,J12=J10)," ",J12)</f>
        <v>#N/A</v>
      </c>
      <c r="U9" s="96">
        <f t="shared" si="0"/>
        <v>1</v>
      </c>
      <c r="V9" s="96">
        <f t="shared" ca="1" si="1"/>
        <v>1</v>
      </c>
      <c r="W9" s="97">
        <f t="shared" si="2"/>
        <v>2</v>
      </c>
      <c r="X9" s="97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201">
        <v>4</v>
      </c>
      <c r="AD9" s="202" t="e">
        <f>IF(OR(AB7=" ",AB8=" ",AB9=" "),AB10,AB9)</f>
        <v>#N/A</v>
      </c>
      <c r="AE9" s="203">
        <f t="shared" si="3"/>
        <v>1</v>
      </c>
      <c r="AF9" s="203">
        <f t="shared" ca="1" si="4"/>
        <v>1</v>
      </c>
      <c r="AG9" s="203">
        <f t="shared" si="5"/>
        <v>2</v>
      </c>
      <c r="AH9" s="204">
        <f t="shared" si="6"/>
        <v>2</v>
      </c>
      <c r="AJ9" s="201">
        <v>4</v>
      </c>
      <c r="AK9" s="202" t="e">
        <f t="shared" si="7"/>
        <v>#N/A</v>
      </c>
      <c r="AL9" s="203">
        <f t="shared" si="7"/>
        <v>1</v>
      </c>
      <c r="AM9" s="203">
        <f t="shared" ca="1" si="7"/>
        <v>1</v>
      </c>
      <c r="AN9" s="203">
        <f t="shared" si="7"/>
        <v>2</v>
      </c>
      <c r="AO9" s="204">
        <f t="shared" si="7"/>
        <v>2</v>
      </c>
    </row>
    <row r="10" spans="1:41" ht="24" customHeight="1">
      <c r="A10" s="280">
        <v>5</v>
      </c>
      <c r="B10" s="269" t="str">
        <f>пр.хода!AA25</f>
        <v xml:space="preserve"> </v>
      </c>
      <c r="C10" s="270" t="e">
        <f>VLOOKUP(B10,пр.взв!B1:H22,2,FALSE)</f>
        <v>#N/A</v>
      </c>
      <c r="D10" s="270" t="e">
        <f>VLOOKUP(B10,пр.взв!B1:H85,3,FALSE)</f>
        <v>#N/A</v>
      </c>
      <c r="E10" s="271" t="e">
        <f>VLOOKUP(B10,пр.взв!B1:H22,4,FALSE)</f>
        <v>#N/A</v>
      </c>
      <c r="F10" s="270" t="e">
        <f>VLOOKUP(B10,пр.взв!B1:H22,5,FALSE)</f>
        <v>#N/A</v>
      </c>
      <c r="G10" s="270" t="e">
        <f>VLOOKUP(B10,пр.взв!B1:H22,6,FALSE)</f>
        <v>#N/A</v>
      </c>
      <c r="H10" s="276" t="e">
        <f>VLOOKUP(B10,пр.взв!B1:H87,7,FALSE)</f>
        <v>#N/A</v>
      </c>
      <c r="J10" s="492" t="e">
        <f>IFERROR(LEFT(F8,FIND(",",F8)-1),F8)</f>
        <v>#N/A</v>
      </c>
      <c r="K10" s="492">
        <v>1</v>
      </c>
      <c r="L10" s="99">
        <v>5</v>
      </c>
      <c r="M10" s="95" t="s">
        <v>59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e">
        <f>IF(OR(J14=J4,J14=J8,J14=J10,J14=J12)," ",J14)</f>
        <v>#N/A</v>
      </c>
      <c r="U10" s="96">
        <f t="shared" si="0"/>
        <v>1</v>
      </c>
      <c r="V10" s="96">
        <f t="shared" ca="1" si="1"/>
        <v>1</v>
      </c>
      <c r="W10" s="97">
        <f t="shared" si="2"/>
        <v>2</v>
      </c>
      <c r="X10" s="97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205">
        <v>5</v>
      </c>
      <c r="AD10" s="202" t="e">
        <f>IF(OR(AB7=" ",AB8=" ",AB9=" ")," ",AB10)</f>
        <v>#N/A</v>
      </c>
      <c r="AE10" s="203">
        <f t="shared" si="3"/>
        <v>1</v>
      </c>
      <c r="AF10" s="203">
        <f t="shared" ca="1" si="4"/>
        <v>1</v>
      </c>
      <c r="AG10" s="203">
        <f t="shared" si="5"/>
        <v>2</v>
      </c>
      <c r="AH10" s="204">
        <f t="shared" si="6"/>
        <v>2</v>
      </c>
      <c r="AJ10" s="205">
        <v>5</v>
      </c>
      <c r="AK10" s="202" t="e">
        <f t="shared" si="7"/>
        <v>#N/A</v>
      </c>
      <c r="AL10" s="203">
        <f t="shared" si="7"/>
        <v>1</v>
      </c>
      <c r="AM10" s="203">
        <f t="shared" ca="1" si="7"/>
        <v>1</v>
      </c>
      <c r="AN10" s="203">
        <f t="shared" si="7"/>
        <v>2</v>
      </c>
      <c r="AO10" s="204">
        <f t="shared" si="7"/>
        <v>2</v>
      </c>
    </row>
    <row r="11" spans="1:41" ht="24" customHeight="1" thickBot="1">
      <c r="A11" s="280">
        <v>5</v>
      </c>
      <c r="B11" s="269" t="str">
        <f>пр.хода!AA26</f>
        <v xml:space="preserve"> </v>
      </c>
      <c r="C11" s="270" t="e">
        <f>VLOOKUP(B11,пр.взв!B1:H22,2,FALSE)</f>
        <v>#N/A</v>
      </c>
      <c r="D11" s="270" t="e">
        <f>VLOOKUP(B11,пр.взв!B1:H87,3,FALSE)</f>
        <v>#N/A</v>
      </c>
      <c r="E11" s="271" t="e">
        <f>VLOOKUP(B11,пр.взв!B1:H22,4,FALSE)</f>
        <v>#N/A</v>
      </c>
      <c r="F11" s="270" t="e">
        <f>VLOOKUP(B11,пр.взв!B1:H22,5,FALSE)</f>
        <v>#N/A</v>
      </c>
      <c r="G11" s="270" t="e">
        <f>VLOOKUP(B11,пр.взв!B1:H22,6,FALSE)</f>
        <v>#N/A</v>
      </c>
      <c r="H11" s="276" t="e">
        <f>VLOOKUP(B11,пр.взв!B1:H89,7,FALSE)</f>
        <v>#N/A</v>
      </c>
      <c r="J11" s="492"/>
      <c r="K11" s="492"/>
      <c r="L11" s="98">
        <v>6</v>
      </c>
      <c r="M11" s="95" t="s">
        <v>60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e">
        <f>IF(OR(J16=J4,J16=J8,J16=J10,J16=J12,J16=J14)," ",J16)</f>
        <v>#N/A</v>
      </c>
      <c r="U11" s="96">
        <f t="shared" si="0"/>
        <v>1</v>
      </c>
      <c r="V11" s="96">
        <f t="shared" ca="1" si="1"/>
        <v>1</v>
      </c>
      <c r="W11" s="97">
        <f t="shared" si="2"/>
        <v>2</v>
      </c>
      <c r="X11" s="97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206">
        <v>6</v>
      </c>
      <c r="AD11" s="207" t="e">
        <f>IF(OR(AB7=" ",AB8=" ",AB9=" ",AB10=" ")," ",AB11)</f>
        <v>#N/A</v>
      </c>
      <c r="AE11" s="208">
        <f t="shared" si="3"/>
        <v>1</v>
      </c>
      <c r="AF11" s="208">
        <f t="shared" ca="1" si="4"/>
        <v>1</v>
      </c>
      <c r="AG11" s="208">
        <f t="shared" si="5"/>
        <v>2</v>
      </c>
      <c r="AH11" s="209">
        <f t="shared" si="6"/>
        <v>2</v>
      </c>
      <c r="AJ11" s="206">
        <v>6</v>
      </c>
      <c r="AK11" s="207" t="e">
        <f t="shared" si="7"/>
        <v>#N/A</v>
      </c>
      <c r="AL11" s="208">
        <f t="shared" si="7"/>
        <v>1</v>
      </c>
      <c r="AM11" s="208">
        <f t="shared" ca="1" si="7"/>
        <v>1</v>
      </c>
      <c r="AN11" s="208">
        <f t="shared" si="7"/>
        <v>2</v>
      </c>
      <c r="AO11" s="209">
        <f t="shared" si="7"/>
        <v>2</v>
      </c>
    </row>
    <row r="12" spans="1:41" ht="24" customHeight="1" thickBot="1">
      <c r="A12" s="281" t="s">
        <v>43</v>
      </c>
      <c r="B12" s="269" t="str">
        <f>пр.хода!AA27</f>
        <v xml:space="preserve"> </v>
      </c>
      <c r="C12" s="270" t="e">
        <f>VLOOKUP(B12,пр.взв!B1:H22,2,FALSE)</f>
        <v>#N/A</v>
      </c>
      <c r="D12" s="270" t="e">
        <f>VLOOKUP(B12,пр.взв!B1:H89,3,FALSE)</f>
        <v>#N/A</v>
      </c>
      <c r="E12" s="271" t="e">
        <f>VLOOKUP(B12,пр.взв!B1:H22,4,FALSE)</f>
        <v>#N/A</v>
      </c>
      <c r="F12" s="270" t="e">
        <f>VLOOKUP(B12,пр.взв!B1:H22,5,FALSE)</f>
        <v>#N/A</v>
      </c>
      <c r="G12" s="270" t="e">
        <f>VLOOKUP(B12,пр.взв!B1:H22,6,FALSE)</f>
        <v>#N/A</v>
      </c>
      <c r="H12" s="276" t="e">
        <f>VLOOKUP(B12,пр.взв!B1:H91,7,FALSE)</f>
        <v>#N/A</v>
      </c>
      <c r="J12" s="492" t="e">
        <f>IFERROR(LEFT(F9,FIND(",",F9)-1),F9)</f>
        <v>#N/A</v>
      </c>
      <c r="K12" s="492">
        <v>1</v>
      </c>
      <c r="L12" s="99">
        <v>7</v>
      </c>
      <c r="M12" s="95" t="s">
        <v>61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10">
        <f>SUM(AE6:AE11)</f>
        <v>6</v>
      </c>
      <c r="AF12" s="210">
        <f ca="1">SUM(AF6:AF11)</f>
        <v>6</v>
      </c>
      <c r="AG12" s="210">
        <f>SUM(AG6:AG11)</f>
        <v>12</v>
      </c>
      <c r="AH12" s="210">
        <f>SUM(AH6:AH11)</f>
        <v>12</v>
      </c>
      <c r="AJ12" s="107"/>
      <c r="AK12" s="108"/>
      <c r="AL12" s="210">
        <f>SUM(AL6:AL11)</f>
        <v>6</v>
      </c>
      <c r="AM12" s="210">
        <f ca="1">SUM(AM6:AM11)</f>
        <v>6</v>
      </c>
      <c r="AN12" s="210">
        <f>SUM(AN6:AN11)</f>
        <v>12</v>
      </c>
      <c r="AO12" s="210">
        <f>SUM(AO6:AO11)</f>
        <v>12</v>
      </c>
    </row>
    <row r="13" spans="1:41" ht="24" customHeight="1">
      <c r="A13" s="281" t="s">
        <v>43</v>
      </c>
      <c r="B13" s="269" t="str">
        <f>пр.хода!AA28</f>
        <v xml:space="preserve"> </v>
      </c>
      <c r="C13" s="270" t="e">
        <f>VLOOKUP(B13,пр.взв!B2:H22,2,FALSE)</f>
        <v>#N/A</v>
      </c>
      <c r="D13" s="270" t="e">
        <f>VLOOKUP(B13,пр.взв!B2:H91,3,FALSE)</f>
        <v>#N/A</v>
      </c>
      <c r="E13" s="271" t="e">
        <f>VLOOKUP(B13,пр.взв!B2:H22,4,FALSE)</f>
        <v>#N/A</v>
      </c>
      <c r="F13" s="270" t="e">
        <f>VLOOKUP(B13,пр.взв!B2:H22,5,FALSE)</f>
        <v>#N/A</v>
      </c>
      <c r="G13" s="270" t="e">
        <f>VLOOKUP(B13,пр.взв!B2:H22,6,FALSE)</f>
        <v>#N/A</v>
      </c>
      <c r="H13" s="276" t="e">
        <f>VLOOKUP(B13,пр.взв!B2:H93,7,FALSE)</f>
        <v>#N/A</v>
      </c>
      <c r="J13" s="492"/>
      <c r="K13" s="492"/>
      <c r="L13" s="98">
        <v>8</v>
      </c>
      <c r="M13" s="95" t="s">
        <v>62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e">
        <f>IF(OR(J16=J8,J16=J12,J16=J14)," ",J16)</f>
        <v>#N/A</v>
      </c>
      <c r="U13" s="101"/>
      <c r="V13" s="101"/>
      <c r="W13" s="102"/>
      <c r="X13" s="102"/>
    </row>
    <row r="14" spans="1:41" ht="24" customHeight="1">
      <c r="A14" s="281" t="s">
        <v>50</v>
      </c>
      <c r="B14" s="269" t="str">
        <f>пр.хода!Z25</f>
        <v xml:space="preserve"> </v>
      </c>
      <c r="C14" s="270" t="e">
        <f>VLOOKUP(B14,пр.взв!B2:H22,2,FALSE)</f>
        <v>#N/A</v>
      </c>
      <c r="D14" s="270" t="e">
        <f>VLOOKUP(B14,пр.взв!B2:H93,3,FALSE)</f>
        <v>#N/A</v>
      </c>
      <c r="E14" s="271" t="e">
        <f>VLOOKUP(B14,пр.взв!B2:H22,4,FALSE)</f>
        <v>#N/A</v>
      </c>
      <c r="F14" s="270" t="e">
        <f>VLOOKUP(B14,пр.взв!B2:H22,5,FALSE)</f>
        <v>#N/A</v>
      </c>
      <c r="G14" s="270" t="e">
        <f>VLOOKUP(B14,пр.взв!B2:H22,6,FALSE)</f>
        <v>#N/A</v>
      </c>
      <c r="H14" s="276" t="e">
        <f>VLOOKUP(B14,пр.взв!B2:H95,7,FALSE)</f>
        <v>#N/A</v>
      </c>
      <c r="J14" s="492" t="e">
        <f>IFERROR(LEFT(F10,FIND(",",F10)-1),F10)</f>
        <v>#N/A</v>
      </c>
      <c r="K14" s="492">
        <v>1</v>
      </c>
      <c r="L14" s="99">
        <v>9</v>
      </c>
      <c r="M14" s="95" t="s">
        <v>63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24" customHeight="1">
      <c r="A15" s="281" t="s">
        <v>50</v>
      </c>
      <c r="B15" s="269" t="str">
        <f>пр.хода!Z26</f>
        <v xml:space="preserve"> </v>
      </c>
      <c r="C15" s="270" t="e">
        <f>VLOOKUP(B15,пр.взв!B2:H22,2,FALSE)</f>
        <v>#N/A</v>
      </c>
      <c r="D15" s="270" t="e">
        <f>VLOOKUP(B15,пр.взв!B2:H95,3,FALSE)</f>
        <v>#N/A</v>
      </c>
      <c r="E15" s="271" t="e">
        <f>VLOOKUP(B15,пр.взв!B2:H22,4,FALSE)</f>
        <v>#N/A</v>
      </c>
      <c r="F15" s="270" t="e">
        <f>VLOOKUP(B15,пр.взв!B2:H22,5,FALSE)</f>
        <v>#N/A</v>
      </c>
      <c r="G15" s="270" t="e">
        <f>VLOOKUP(B15,пр.взв!B2:H22,6,FALSE)</f>
        <v>#N/A</v>
      </c>
      <c r="H15" s="276" t="e">
        <f>VLOOKUP(B15,пр.взв!B2:H97,7,FALSE)</f>
        <v>#N/A</v>
      </c>
      <c r="J15" s="492"/>
      <c r="K15" s="492"/>
      <c r="L15" s="98">
        <v>10</v>
      </c>
      <c r="M15" s="95" t="s">
        <v>64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24" customHeight="1">
      <c r="A16" s="281" t="s">
        <v>50</v>
      </c>
      <c r="B16" s="269" t="str">
        <f>пр.хода!Z27</f>
        <v xml:space="preserve"> </v>
      </c>
      <c r="C16" s="270" t="e">
        <f>VLOOKUP(B16,пр.взв!B2:H22,2,FALSE)</f>
        <v>#N/A</v>
      </c>
      <c r="D16" s="270" t="e">
        <f>VLOOKUP(B16,пр.взв!B2:H97,3,FALSE)</f>
        <v>#N/A</v>
      </c>
      <c r="E16" s="271" t="e">
        <f>VLOOKUP(B16,пр.взв!B2:H22,4,FALSE)</f>
        <v>#N/A</v>
      </c>
      <c r="F16" s="270" t="e">
        <f>VLOOKUP(B16,пр.взв!B2:H22,5,FALSE)</f>
        <v>#N/A</v>
      </c>
      <c r="G16" s="270" t="e">
        <f>VLOOKUP(B16,пр.взв!B2:H22,6,FALSE)</f>
        <v>#N/A</v>
      </c>
      <c r="H16" s="276" t="e">
        <f>VLOOKUP(B16,пр.взв!B2:H99,7,FALSE)</f>
        <v>#N/A</v>
      </c>
      <c r="J16" s="492" t="e">
        <f>IFERROR(LEFT(F11,FIND(",",F11)-1),F11)</f>
        <v>#N/A</v>
      </c>
      <c r="K16" s="492">
        <v>1</v>
      </c>
      <c r="L16" s="99">
        <v>11</v>
      </c>
      <c r="M16" s="105" t="s">
        <v>65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24" customHeight="1" thickBot="1">
      <c r="A17" s="281" t="s">
        <v>50</v>
      </c>
      <c r="B17" s="269" t="str">
        <f>пр.хода!Z28</f>
        <v xml:space="preserve"> </v>
      </c>
      <c r="C17" s="270" t="e">
        <f>VLOOKUP(B17,пр.взв!B2:H22,2,FALSE)</f>
        <v>#N/A</v>
      </c>
      <c r="D17" s="270" t="e">
        <f>VLOOKUP(B17,пр.взв!B2:H99,3,FALSE)</f>
        <v>#N/A</v>
      </c>
      <c r="E17" s="271" t="e">
        <f>VLOOKUP(B17,пр.взв!B2:H22,4,FALSE)</f>
        <v>#N/A</v>
      </c>
      <c r="F17" s="270" t="e">
        <f>VLOOKUP(B17,пр.взв!B2:H22,5,FALSE)</f>
        <v>#N/A</v>
      </c>
      <c r="G17" s="270" t="e">
        <f>VLOOKUP(B17,пр.взв!B2:H22,6,FALSE)</f>
        <v>#N/A</v>
      </c>
      <c r="H17" s="276" t="e">
        <f>VLOOKUP(B17,пр.взв!B2:H101,7,FALSE)</f>
        <v>#N/A</v>
      </c>
      <c r="J17" s="492"/>
      <c r="K17" s="492"/>
      <c r="L17" s="98">
        <v>12</v>
      </c>
      <c r="M17" s="105" t="s">
        <v>68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24" customHeight="1" thickBot="1">
      <c r="A18" s="281" t="s">
        <v>51</v>
      </c>
      <c r="B18" s="269">
        <f>пр.хода!Z29</f>
        <v>1</v>
      </c>
      <c r="C18" s="270" t="str">
        <f>VLOOKUP(B18,пр.взв!B3:H22,2,FALSE)</f>
        <v>НЕКАЗАКОВ  Сергей Сергеевич</v>
      </c>
      <c r="D18" s="270" t="str">
        <f>VLOOKUP(B18,пр.взв!B3:H101,3,FALSE)</f>
        <v>20.10.2000, КМС</v>
      </c>
      <c r="E18" s="271" t="str">
        <f>VLOOKUP(B18,пр.взв!B3:H22,4,FALSE)</f>
        <v>ЦФО</v>
      </c>
      <c r="F18" s="270" t="str">
        <f>VLOOKUP(B18,пр.взв!B3:H22,5,FALSE)</f>
        <v>Воронежская, Воронеж, Д</v>
      </c>
      <c r="G18" s="270">
        <f>VLOOKUP(B18,пр.взв!B3:H22,6,FALSE)</f>
        <v>0</v>
      </c>
      <c r="H18" s="276" t="str">
        <f>VLOOKUP(B18,пр.взв!B3:H103,7,FALSE)</f>
        <v>Карпов А.А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6</v>
      </c>
      <c r="V18" s="109">
        <f ca="1">SUM(V6:V17)</f>
        <v>6</v>
      </c>
      <c r="W18" s="109">
        <f>SUM(W6:W17)</f>
        <v>12</v>
      </c>
      <c r="X18" s="109">
        <f>SUM(X6:X17)</f>
        <v>12</v>
      </c>
    </row>
    <row r="19" spans="1:24" ht="24" customHeight="1">
      <c r="A19" s="281" t="s">
        <v>51</v>
      </c>
      <c r="B19" s="269">
        <f>пр.хода!Z30</f>
        <v>2</v>
      </c>
      <c r="C19" s="270" t="str">
        <f>VLOOKUP(B19,пр.взв!B3:H22,2,FALSE)</f>
        <v xml:space="preserve">ОСИПОВ  Егор Дмитриевич </v>
      </c>
      <c r="D19" s="270" t="str">
        <f>VLOOKUP(B19,пр.взв!B3:H103,3,FALSE)</f>
        <v>05.07.2001, КМС</v>
      </c>
      <c r="E19" s="271" t="str">
        <f>VLOOKUP(B19,пр.взв!B3:H22,4,FALSE)</f>
        <v>ЦФО</v>
      </c>
      <c r="F19" s="270" t="str">
        <f>VLOOKUP(B19,пр.взв!B3:H22,5,FALSE)</f>
        <v>Рязанская, Рязань</v>
      </c>
      <c r="G19" s="270">
        <f>VLOOKUP(B19,пр.взв!B3:H22,6,FALSE)</f>
        <v>0</v>
      </c>
      <c r="H19" s="276" t="str">
        <f>VLOOKUP(B19,пр.взв!B3:H105,7,FALSE)</f>
        <v>Изместьев В.П. Савельев Е.А.</v>
      </c>
    </row>
    <row r="20" spans="1:24" ht="24" customHeight="1">
      <c r="A20" s="281" t="s">
        <v>51</v>
      </c>
      <c r="B20" s="269">
        <f>пр.хода!Z31</f>
        <v>3</v>
      </c>
      <c r="C20" s="270" t="str">
        <f>VLOOKUP(B20,пр.взв!B3:H22,2,FALSE)</f>
        <v xml:space="preserve">КУЗНЕЦОВ Сергей Владимирович </v>
      </c>
      <c r="D20" s="270" t="str">
        <f>VLOOKUP(B20,пр.взв!B3:H105,3,FALSE)</f>
        <v>14.04.1999, МС</v>
      </c>
      <c r="E20" s="271" t="str">
        <f>VLOOKUP(B20,пр.взв!B3:H22,4,FALSE)</f>
        <v>УФО</v>
      </c>
      <c r="F20" s="270" t="str">
        <f>VLOOKUP(B20,пр.взв!B3:H22,5,FALSE)</f>
        <v>Свердловская ,Верхняя Пышма, Д</v>
      </c>
      <c r="G20" s="270">
        <f>VLOOKUP(B20,пр.взв!B3:H22,6,FALSE)</f>
        <v>0</v>
      </c>
      <c r="H20" s="276" t="str">
        <f>VLOOKUP(B20,пр.взв!B3:H107,7,FALSE)</f>
        <v>Хлыбов И.Е., Пленкин А.В.</v>
      </c>
    </row>
    <row r="21" spans="1:24" ht="24" customHeight="1" thickBot="1">
      <c r="A21" s="282" t="s">
        <v>51</v>
      </c>
      <c r="B21" s="277">
        <f>пр.хода!Z32</f>
        <v>4</v>
      </c>
      <c r="C21" s="267" t="str">
        <f>VLOOKUP(B21,пр.взв!B3:H22,2,FALSE)</f>
        <v xml:space="preserve">ФАРГАТОВ Курбан Расимович </v>
      </c>
      <c r="D21" s="267" t="str">
        <f>VLOOKUP(B21,пр.взв!B3:H107,3,FALSE)</f>
        <v>17.01.2000, КМС</v>
      </c>
      <c r="E21" s="278" t="str">
        <f>VLOOKUP(B21,пр.взв!B3:H22,4,FALSE)</f>
        <v>ЮФО</v>
      </c>
      <c r="F21" s="267" t="str">
        <f>VLOOKUP(B21,пр.взв!B3:H22,5,FALSE)</f>
        <v>Краснодарский, Курганинск, МС</v>
      </c>
      <c r="G21" s="267">
        <f>VLOOKUP(B21,пр.взв!B3:H22,6,FALSE)</f>
        <v>0</v>
      </c>
      <c r="H21" s="268" t="str">
        <f>VLOOKUP(B21,пр.взв!B3:H109,7,FALSE)</f>
        <v>Дуйсенов К.Г. Нефедов Д.Н.</v>
      </c>
    </row>
    <row r="22" spans="1:24" ht="12.75" customHeight="1"/>
    <row r="24" spans="1:24" ht="12.75" customHeight="1">
      <c r="A24" s="62" t="str">
        <f>пр.хода!A38</f>
        <v>Гл. судья, судья ВК</v>
      </c>
      <c r="B24" s="63"/>
      <c r="C24" s="64"/>
      <c r="D24" s="66"/>
      <c r="E24" s="66"/>
      <c r="F24" s="66"/>
      <c r="G24" s="65" t="str">
        <f>пр.хода!J38</f>
        <v>С.В.Пегасов</v>
      </c>
    </row>
    <row r="25" spans="1:24" ht="15">
      <c r="A25" s="63"/>
      <c r="B25" s="63"/>
      <c r="C25" s="64"/>
      <c r="D25" s="66"/>
      <c r="E25" s="66"/>
      <c r="F25" s="66"/>
      <c r="G25" s="84" t="str">
        <f>пр.хода!N38</f>
        <v>/г.Чебоксары/</v>
      </c>
    </row>
    <row r="26" spans="1:24" ht="12.75" customHeight="1">
      <c r="A26" s="63"/>
      <c r="B26" s="63"/>
      <c r="C26" s="64"/>
      <c r="D26" s="66"/>
      <c r="E26" s="66"/>
      <c r="F26" s="66"/>
      <c r="G26" s="66"/>
    </row>
    <row r="27" spans="1:24" ht="15">
      <c r="A27" s="62" t="str">
        <f>пр.хода!A40</f>
        <v>Гл. секретарь, судья ВК</v>
      </c>
      <c r="B27" s="63"/>
      <c r="C27" s="64"/>
      <c r="D27" s="66"/>
      <c r="E27" s="66"/>
      <c r="F27" s="66"/>
      <c r="G27" s="85" t="str">
        <f>пр.хода!J40</f>
        <v>М.Р. Шарифзянов</v>
      </c>
    </row>
    <row r="28" spans="1:24" ht="12.75" customHeight="1">
      <c r="A28" s="63"/>
      <c r="B28" s="63"/>
      <c r="C28" s="63"/>
      <c r="D28" s="66"/>
      <c r="E28" s="66"/>
      <c r="F28" s="66"/>
      <c r="G28" s="213" t="str">
        <f>пр.хода!N40</f>
        <v>/Казань/</v>
      </c>
      <c r="H28" s="5"/>
    </row>
    <row r="29" spans="1:24">
      <c r="D29" s="4"/>
      <c r="E29" s="4"/>
      <c r="F29" s="4"/>
      <c r="G29" s="4"/>
    </row>
    <row r="30" spans="1:24" ht="12.75" customHeight="1">
      <c r="D30" s="4"/>
      <c r="E30" s="4"/>
      <c r="F30" s="4"/>
      <c r="G30" s="4"/>
    </row>
    <row r="31" spans="1:24">
      <c r="D31" s="4"/>
      <c r="E31" s="4"/>
      <c r="F31" s="4"/>
      <c r="G31" s="4"/>
    </row>
    <row r="32" spans="1:24" ht="12.75" customHeight="1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 ht="12.75" customHeight="1">
      <c r="D34" s="4"/>
      <c r="E34" s="4"/>
      <c r="F34" s="4"/>
      <c r="G34" s="4"/>
    </row>
    <row r="35" spans="4:7">
      <c r="D35" s="4"/>
      <c r="E35" s="4"/>
      <c r="F35" s="4"/>
      <c r="G35" s="4"/>
    </row>
    <row r="36" spans="4:7">
      <c r="D36" s="4"/>
      <c r="E36" s="4"/>
      <c r="F36" s="4"/>
      <c r="G36" s="4"/>
    </row>
    <row r="37" spans="4:7">
      <c r="D37" s="4"/>
      <c r="E37" s="4"/>
      <c r="F37" s="4"/>
      <c r="G37" s="4"/>
    </row>
    <row r="38" spans="4:7">
      <c r="D38" s="4"/>
      <c r="E38" s="4"/>
      <c r="F38" s="4"/>
      <c r="G38" s="4"/>
    </row>
  </sheetData>
  <mergeCells count="39"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J8:J9"/>
    <mergeCell ref="K8:K9"/>
    <mergeCell ref="J10:J11"/>
    <mergeCell ref="K10:K11"/>
    <mergeCell ref="J6:J7"/>
    <mergeCell ref="K6:K7"/>
    <mergeCell ref="J12:J13"/>
    <mergeCell ref="K12:K13"/>
    <mergeCell ref="J14:J15"/>
    <mergeCell ref="K14:K15"/>
    <mergeCell ref="J16:J17"/>
    <mergeCell ref="K16:K17"/>
    <mergeCell ref="N4:Q4"/>
    <mergeCell ref="S4:S5"/>
    <mergeCell ref="T4:T5"/>
    <mergeCell ref="U4:X4"/>
    <mergeCell ref="J4:J5"/>
    <mergeCell ref="K4:K5"/>
    <mergeCell ref="L4:L5"/>
    <mergeCell ref="M4:M5"/>
    <mergeCell ref="AL4:AO4"/>
    <mergeCell ref="T2:X2"/>
    <mergeCell ref="AC4:AC5"/>
    <mergeCell ref="AD4:AD5"/>
    <mergeCell ref="AE4:AH4"/>
    <mergeCell ref="AJ4:AJ5"/>
    <mergeCell ref="AK4:AK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27" t="str">
        <f>пр.взв!B2</f>
        <v>Первенство России по самбо среди юниоров и юниорок до 24 лет  ЕКП № 1802, отбор на Кубок Европы 2022г.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44"/>
      <c r="M1" s="44"/>
      <c r="N1" s="44"/>
      <c r="O1" s="44"/>
      <c r="P1" s="44"/>
    </row>
    <row r="2" spans="1:19" ht="12.75" customHeight="1">
      <c r="A2" s="528" t="str">
        <f>пр.взв!A3</f>
        <v>17-21 января 2022года                          г.Кстово</v>
      </c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98 кг.</v>
      </c>
      <c r="G3" s="46"/>
      <c r="H3" s="46"/>
      <c r="I3" s="46"/>
      <c r="J3" s="46"/>
      <c r="K3" s="46"/>
      <c r="L3" s="46"/>
    </row>
    <row r="4" spans="1:19" ht="16.5" thickBot="1">
      <c r="A4" s="529" t="s">
        <v>0</v>
      </c>
      <c r="B4" s="529"/>
      <c r="C4" s="5"/>
    </row>
    <row r="5" spans="1:19" ht="12.75" customHeight="1" thickBot="1">
      <c r="A5" s="526">
        <v>1</v>
      </c>
      <c r="B5" s="511" t="str">
        <f>VLOOKUP(A5,пр.взв!B5:C22,2,FALSE)</f>
        <v>НЕКАЗАКОВ  Сергей Сергеевич</v>
      </c>
      <c r="C5" s="524" t="str">
        <f>VLOOKUP(A5,пр.взв!B5:F22,3,FALSE)</f>
        <v>20.10.2000, КМС</v>
      </c>
      <c r="D5" s="511" t="str">
        <f>VLOOKUP(A5,пр.взв!B5:F22,4,FALSE)</f>
        <v>ЦФО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3"/>
      <c r="B6" s="523"/>
      <c r="C6" s="525"/>
      <c r="D6" s="523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3">
        <v>9</v>
      </c>
      <c r="B7" s="517" t="str">
        <f>VLOOKUP(A7,пр.взв!B7:C22,2,FALSE)</f>
        <v>ПОДГОРНЫЙ АРТЕМ АНДРЕЕВИЧ</v>
      </c>
      <c r="C7" s="519" t="str">
        <f>VLOOKUP(A7,пр.взв!B5:F22,3,FALSE)</f>
        <v>27.01.2000, КМС</v>
      </c>
      <c r="D7" s="512" t="str">
        <f>VLOOKUP(A7,пр.взв!B1:G22,5,FALSE)</f>
        <v>Санкт-Петербург, МО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4"/>
      <c r="B8" s="518"/>
      <c r="C8" s="520"/>
      <c r="D8" s="518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6">
        <v>5</v>
      </c>
      <c r="B9" s="511" t="str">
        <f>VLOOKUP(A9,пр.взв!B9:C22,2,FALSE)</f>
        <v>ВЕСЕЛОВ  Андрей  Андреевич</v>
      </c>
      <c r="C9" s="524" t="str">
        <f>VLOOKUP(A9,пр.взв!B5:E22,3,FALSE)</f>
        <v>19.04.2001, МС</v>
      </c>
      <c r="D9" s="511" t="str">
        <f>VLOOKUP(A9,пр.взв!B3:G22,5,FALSE)</f>
        <v>Нижегородская, Кстово, ЦСКА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3"/>
      <c r="B10" s="523"/>
      <c r="C10" s="525"/>
      <c r="D10" s="523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3">
        <v>13</v>
      </c>
      <c r="B11" s="517" t="str">
        <f>VLOOKUP(A11,пр.взв!B5:C22,2,FALSE)</f>
        <v>ТОРГАШОВ  Даниил Анатольевич</v>
      </c>
      <c r="C11" s="519" t="str">
        <f>VLOOKUP(A11,пр.взв!B5:E22,3,FALSE)</f>
        <v>08.04.2001, КМС</v>
      </c>
      <c r="D11" s="512" t="str">
        <f>VLOOKUP(A11,пр.взв!B5:G22,5,FALSE)</f>
        <v>Р.Татарстан, Казань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4"/>
      <c r="B12" s="518"/>
      <c r="C12" s="520"/>
      <c r="D12" s="518"/>
      <c r="E12" s="17"/>
      <c r="F12" s="522"/>
      <c r="G12" s="522"/>
      <c r="H12" s="25"/>
      <c r="I12" s="19"/>
      <c r="J12" s="13"/>
      <c r="K12" s="13"/>
      <c r="L12" s="13"/>
    </row>
    <row r="13" spans="1:19" ht="12.75" customHeight="1" thickBot="1">
      <c r="A13" s="526">
        <v>3</v>
      </c>
      <c r="B13" s="511" t="str">
        <f>VLOOKUP(A13,пр.взв!B5:C22,2,FALSE)</f>
        <v xml:space="preserve">КУЗНЕЦОВ Сергей Владимирович </v>
      </c>
      <c r="C13" s="524" t="str">
        <f>VLOOKUP(A13,пр.взв!B5:E22,3,FALSE)</f>
        <v>14.04.1999, МС</v>
      </c>
      <c r="D13" s="511" t="str">
        <f>VLOOKUP(A13,пр.взв!B7:G22,5,FALSE)</f>
        <v>Свердловская ,Верхняя Пышма, Д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3"/>
      <c r="B14" s="523"/>
      <c r="C14" s="525"/>
      <c r="D14" s="523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3">
        <v>11</v>
      </c>
      <c r="B15" s="517" t="str">
        <f>VLOOKUP(A15,пр.взв!B15:C22,2,FALSE)</f>
        <v xml:space="preserve">МАНУКЯН Леван Гарикович </v>
      </c>
      <c r="C15" s="519" t="str">
        <f>VLOOKUP(A15,пр.взв!B5:E22,3,FALSE)</f>
        <v>22.00.2002, МС</v>
      </c>
      <c r="D15" s="512" t="str">
        <f>VLOOKUP(A15,пр.взв!B9:G22,5,FALSE)</f>
        <v>Краснодарский, Сочи, МО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4"/>
      <c r="B16" s="518"/>
      <c r="C16" s="520"/>
      <c r="D16" s="518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6">
        <v>7</v>
      </c>
      <c r="B17" s="511" t="str">
        <f>VLOOKUP(A17,пр.взв!B9:C22,2,FALSE)</f>
        <v>МИШУНИН Аким Станиславович</v>
      </c>
      <c r="C17" s="524" t="str">
        <f>VLOOKUP(A17,пр.взв!B5:E22,3,FALSE)</f>
        <v>14.01.2003, КМС</v>
      </c>
      <c r="D17" s="511" t="str">
        <f>VLOOKUP(A17,пр.взв!B11:G22,5,FALSE)</f>
        <v>Москва, Москва, ВС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3"/>
      <c r="B18" s="523"/>
      <c r="C18" s="525"/>
      <c r="D18" s="523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3">
        <v>15</v>
      </c>
      <c r="B19" s="517" t="str">
        <f>VLOOKUP(A19,пр.взв!B19:C22,2,FALSE)</f>
        <v>РОГАЧЕВ Юрий Игоревич</v>
      </c>
      <c r="C19" s="519" t="str">
        <f>VLOOKUP(A19,пр.взв!B5:E22,3,FALSE)</f>
        <v>15.06.2003, КМС</v>
      </c>
      <c r="D19" s="512" t="str">
        <f>VLOOKUP(A19,пр.взв!B13:G22,5,FALSE)</f>
        <v>Московская, Дзержинсий, МО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4"/>
      <c r="B20" s="518"/>
      <c r="C20" s="520"/>
      <c r="D20" s="518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26">
        <v>2</v>
      </c>
      <c r="B22" s="511" t="str">
        <f>VLOOKUP(A22,пр.взв!B7:E22,2,FALSE)</f>
        <v xml:space="preserve">ОСИПОВ  Егор Дмитриевич </v>
      </c>
      <c r="C22" s="524" t="str">
        <f>VLOOKUP(A22,пр.взв!B7:E22,3,FALSE)</f>
        <v>05.07.2001, КМС</v>
      </c>
      <c r="D22" s="511" t="str">
        <f>пр.взв!F9</f>
        <v>Свердловская ,Верхняя Пышма, Д</v>
      </c>
      <c r="E22" s="12"/>
      <c r="F22" s="13"/>
      <c r="G22" s="13"/>
      <c r="H22" s="13"/>
      <c r="I22" s="13"/>
      <c r="J22" s="4"/>
      <c r="K22" s="16"/>
    </row>
    <row r="23" spans="1:13" ht="15.75">
      <c r="A23" s="513"/>
      <c r="B23" s="523"/>
      <c r="C23" s="525"/>
      <c r="D23" s="512"/>
      <c r="E23" s="88"/>
      <c r="F23" s="15"/>
      <c r="G23" s="15"/>
      <c r="H23" s="13"/>
      <c r="I23" s="13"/>
      <c r="J23" s="4"/>
      <c r="K23" s="31"/>
    </row>
    <row r="24" spans="1:13" ht="16.5" thickBot="1">
      <c r="A24" s="513">
        <v>10</v>
      </c>
      <c r="B24" s="517" t="str">
        <f>VLOOKUP(A24,пр.взв!B7:E22,2,FALSE)</f>
        <v>ХОЛОДЕЛЬЩИКОВ Михаил Валерьевич</v>
      </c>
      <c r="C24" s="519" t="str">
        <f>VLOOKUP(A24,пр.взв!B7:E22,3,FALSE)</f>
        <v>29.07.2002, КМС</v>
      </c>
      <c r="D24" s="512" t="str">
        <f>VLOOKUP(A24,пр.взв!B8:G22,5,FALSE)</f>
        <v>Саратовская, Саратов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14"/>
      <c r="B25" s="518"/>
      <c r="C25" s="520"/>
      <c r="D25" s="521"/>
      <c r="E25" s="17"/>
      <c r="F25" s="21"/>
      <c r="G25" s="19"/>
      <c r="H25" s="13"/>
      <c r="I25" s="13"/>
      <c r="J25" s="4"/>
      <c r="K25" s="31"/>
    </row>
    <row r="26" spans="1:13" ht="16.5" thickBot="1">
      <c r="A26" s="526">
        <v>6</v>
      </c>
      <c r="B26" s="511" t="str">
        <f>VLOOKUP(A26,пр.взв!B7:E22,2,FALSE)</f>
        <v>АЮБОВ Андрей  Ферузович</v>
      </c>
      <c r="C26" s="524" t="str">
        <f>VLOOKUP(A26,пр.взв!B7:E22,3,FALSE)</f>
        <v>05.005.2003, МС</v>
      </c>
      <c r="D26" s="511" t="str">
        <f>VLOOKUP(A26,пр.взв!B2:G22,5,FALSE)</f>
        <v>ХМАО-Югра, Нижневартовск, МО</v>
      </c>
      <c r="E26" s="12"/>
      <c r="F26" s="21"/>
      <c r="G26" s="16"/>
      <c r="H26" s="26"/>
      <c r="I26" s="13"/>
      <c r="J26" s="4"/>
      <c r="K26" s="31"/>
    </row>
    <row r="27" spans="1:13" ht="15.75">
      <c r="A27" s="513"/>
      <c r="B27" s="523"/>
      <c r="C27" s="525"/>
      <c r="D27" s="512"/>
      <c r="E27" s="88"/>
      <c r="F27" s="24"/>
      <c r="G27" s="15"/>
      <c r="H27" s="25"/>
      <c r="I27" s="13"/>
      <c r="J27" s="4"/>
      <c r="K27" s="31"/>
    </row>
    <row r="28" spans="1:13" ht="16.5" thickBot="1">
      <c r="A28" s="513">
        <v>14</v>
      </c>
      <c r="B28" s="517" t="str">
        <f>VLOOKUP(A28,пр.взв!B7:E22,2,FALSE)</f>
        <v xml:space="preserve">АБДУЛАЕВ  Шамил  Камилович </v>
      </c>
      <c r="C28" s="519" t="str">
        <f>VLOOKUP(A28,пр.взв!B7:E22,3,FALSE)</f>
        <v>14.09.2001, КМС</v>
      </c>
      <c r="D28" s="512" t="str">
        <f>VLOOKUP(A28,пр.взв!B4:G22,5,FALSE)</f>
        <v>Р.Дагестан, Махачкала, МС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14"/>
      <c r="B29" s="518"/>
      <c r="C29" s="520"/>
      <c r="D29" s="521"/>
      <c r="E29" s="17"/>
      <c r="F29" s="522"/>
      <c r="G29" s="522"/>
      <c r="H29" s="25"/>
      <c r="I29" s="19"/>
      <c r="J29" s="3"/>
      <c r="K29" s="30"/>
    </row>
    <row r="30" spans="1:13" ht="16.5" thickBot="1">
      <c r="A30" s="526">
        <v>4</v>
      </c>
      <c r="B30" s="511" t="str">
        <f>VLOOKUP(A30,пр.взв!B7:E22,2,FALSE)</f>
        <v xml:space="preserve">ФАРГАТОВ Курбан Расимович </v>
      </c>
      <c r="C30" s="524" t="str">
        <f>VLOOKUP(A30,пр.взв!B7:E22,3,FALSE)</f>
        <v>17.01.2000, КМС</v>
      </c>
      <c r="D30" s="511" t="str">
        <f>VLOOKUP(A30,пр.взв!B6:G22,5,FALSE)</f>
        <v>Краснодарский, Курганинск, МС</v>
      </c>
      <c r="E30" s="12"/>
      <c r="F30" s="15"/>
      <c r="G30" s="15"/>
      <c r="H30" s="25"/>
      <c r="I30" s="16"/>
    </row>
    <row r="31" spans="1:13" ht="15.75">
      <c r="A31" s="513"/>
      <c r="B31" s="523"/>
      <c r="C31" s="525"/>
      <c r="D31" s="512"/>
      <c r="E31" s="88"/>
      <c r="F31" s="15"/>
      <c r="G31" s="15"/>
      <c r="H31" s="25"/>
      <c r="I31" s="13"/>
    </row>
    <row r="32" spans="1:13" ht="16.5" thickBot="1">
      <c r="A32" s="513">
        <v>12</v>
      </c>
      <c r="B32" s="517" t="str">
        <f>VLOOKUP(A32,пр.взв!B7:E22,2,FALSE)</f>
        <v>ЕВСЕЕВ Дмитрий Александрович</v>
      </c>
      <c r="C32" s="519" t="str">
        <f>VLOOKUP(A32,пр.взв!B7:E22,3,FALSE)</f>
        <v>25.09.2003, КМС</v>
      </c>
      <c r="D32" s="512" t="str">
        <f>VLOOKUP(A32,пр.взв!B8:G22,5,FALSE)</f>
        <v>Свердловская, Екатеринбург, МО</v>
      </c>
      <c r="E32" s="89"/>
      <c r="F32" s="20"/>
      <c r="G32" s="15"/>
      <c r="H32" s="25"/>
      <c r="I32" s="13"/>
    </row>
    <row r="33" spans="1:13" ht="16.5" thickBot="1">
      <c r="A33" s="514"/>
      <c r="B33" s="518"/>
      <c r="C33" s="520"/>
      <c r="D33" s="521"/>
      <c r="E33" s="17"/>
      <c r="F33" s="21"/>
      <c r="G33" s="19"/>
      <c r="H33" s="27"/>
      <c r="I33" s="13"/>
    </row>
    <row r="34" spans="1:13" ht="16.5" thickBot="1">
      <c r="A34" s="526">
        <v>8</v>
      </c>
      <c r="B34" s="511" t="str">
        <f>VLOOKUP(A34,пр.взв!B7:E22,2,FALSE)</f>
        <v>ЗИГАНШИН Эмиль Фаридович</v>
      </c>
      <c r="C34" s="524" t="str">
        <f>VLOOKUP(A34,пр.взв!B7:E22,3,FALSE)</f>
        <v>18.03.2000, КМС</v>
      </c>
      <c r="D34" s="511" t="str">
        <f>VLOOKUP(A34,пр.взв!B10:G22,5,FALSE)</f>
        <v>Р.Татарстан, Казань</v>
      </c>
      <c r="E34" s="12"/>
      <c r="F34" s="22"/>
      <c r="G34" s="16"/>
      <c r="H34" s="10"/>
      <c r="I34" s="10"/>
    </row>
    <row r="35" spans="1:13" ht="15.75">
      <c r="A35" s="513"/>
      <c r="B35" s="523"/>
      <c r="C35" s="525"/>
      <c r="D35" s="512"/>
      <c r="E35" s="88"/>
      <c r="F35" s="23"/>
      <c r="G35" s="17"/>
      <c r="H35" s="18"/>
      <c r="I35" s="18"/>
    </row>
    <row r="36" spans="1:13" ht="16.5" thickBot="1">
      <c r="A36" s="513">
        <v>16</v>
      </c>
      <c r="B36" s="517" t="str">
        <f>VLOOKUP(A36,пр.взв!B7:E22,2,FALSE)</f>
        <v>КНЯЗЬКОВ Кирилл Сергеевич</v>
      </c>
      <c r="C36" s="519" t="str">
        <f>VLOOKUP(A36,пр.взв!B7:E22,3,FALSE)</f>
        <v>20.07.2003, КМС</v>
      </c>
      <c r="D36" s="512" t="str">
        <f>VLOOKUP(A36,пр.взв!B12:G22,5,FALSE)</f>
        <v>Москва, Москва, Д</v>
      </c>
      <c r="E36" s="89"/>
      <c r="F36" s="17"/>
      <c r="G36" s="17"/>
      <c r="H36" s="18"/>
      <c r="I36" s="18"/>
    </row>
    <row r="37" spans="1:13" ht="16.5" thickBot="1">
      <c r="A37" s="514"/>
      <c r="B37" s="518"/>
      <c r="C37" s="520"/>
      <c r="D37" s="521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15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15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16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16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workbookViewId="0">
      <selection activeCell="L10" sqref="L10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48" t="str">
        <f>пр.взв!B2</f>
        <v>Первенство России по самбо среди юниоров и юниорок до 24 лет  ЕКП № 1802, отбор на Кубок Европы 2022г.</v>
      </c>
      <c r="B1" s="549"/>
      <c r="C1" s="549"/>
      <c r="D1" s="549"/>
      <c r="E1" s="549"/>
      <c r="F1" s="549"/>
      <c r="G1" s="549"/>
      <c r="H1" s="550"/>
    </row>
    <row r="2" spans="1:10">
      <c r="A2" s="551" t="str">
        <f>пр.взв!A3</f>
        <v>17-21 января 2022года                          г.Кстово</v>
      </c>
      <c r="B2" s="551"/>
      <c r="C2" s="551"/>
      <c r="D2" s="551"/>
      <c r="E2" s="551"/>
      <c r="F2" s="551"/>
      <c r="G2" s="551"/>
      <c r="H2" s="551"/>
    </row>
    <row r="3" spans="1:10" ht="18.75" thickBot="1">
      <c r="A3" s="552" t="s">
        <v>27</v>
      </c>
      <c r="B3" s="552"/>
      <c r="C3" s="552"/>
      <c r="D3" s="552"/>
      <c r="E3" s="552"/>
      <c r="F3" s="552"/>
      <c r="G3" s="552"/>
      <c r="H3" s="552"/>
    </row>
    <row r="4" spans="1:10" ht="18.75" thickBot="1">
      <c r="B4" s="70"/>
      <c r="C4" s="71"/>
      <c r="D4" s="553" t="str">
        <f>HYPERLINK(пр.взв!D4)</f>
        <v>В.к. 98 кг.</v>
      </c>
      <c r="E4" s="554"/>
      <c r="F4" s="555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56" t="s">
        <v>28</v>
      </c>
      <c r="B6" s="539" t="e">
        <f>VLOOKUP(J6,пр.взв!B7:G22,2,FALSE)</f>
        <v>#N/A</v>
      </c>
      <c r="C6" s="539"/>
      <c r="D6" s="539"/>
      <c r="E6" s="539"/>
      <c r="F6" s="539"/>
      <c r="G6" s="539"/>
      <c r="H6" s="541" t="e">
        <f>VLOOKUP(J6,пр.взв!B7:G22,3,FALSE)</f>
        <v>#N/A</v>
      </c>
      <c r="I6" s="71"/>
      <c r="J6" s="69">
        <f>пр.хода!H8</f>
        <v>0</v>
      </c>
    </row>
    <row r="7" spans="1:10" ht="18">
      <c r="A7" s="557"/>
      <c r="B7" s="540"/>
      <c r="C7" s="540"/>
      <c r="D7" s="540"/>
      <c r="E7" s="540"/>
      <c r="F7" s="540"/>
      <c r="G7" s="540"/>
      <c r="H7" s="542"/>
      <c r="I7" s="71"/>
      <c r="J7" s="69"/>
    </row>
    <row r="8" spans="1:10" ht="18">
      <c r="A8" s="557"/>
      <c r="B8" s="546" t="e">
        <f>VLOOKUP(J6,пр.взв!B7:G22,4,FALSE)</f>
        <v>#N/A</v>
      </c>
      <c r="C8" s="546"/>
      <c r="D8" s="546" t="e">
        <f>VLOOKUP(J6,пр.взв!B7:G22,5,FALSE)</f>
        <v>#N/A</v>
      </c>
      <c r="E8" s="546"/>
      <c r="F8" s="546"/>
      <c r="G8" s="546"/>
      <c r="H8" s="547"/>
      <c r="I8" s="71"/>
      <c r="J8" s="69"/>
    </row>
    <row r="9" spans="1:10" ht="18.75" thickBot="1">
      <c r="A9" s="558"/>
      <c r="B9" s="534"/>
      <c r="C9" s="534"/>
      <c r="D9" s="534"/>
      <c r="E9" s="534"/>
      <c r="F9" s="534"/>
      <c r="G9" s="534"/>
      <c r="H9" s="535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43" t="s">
        <v>29</v>
      </c>
      <c r="B11" s="539" t="e">
        <f>VLOOKUP(J11,пр.взв!B2:G22,2,FALSE)</f>
        <v>#N/A</v>
      </c>
      <c r="C11" s="539"/>
      <c r="D11" s="539"/>
      <c r="E11" s="539"/>
      <c r="F11" s="539"/>
      <c r="G11" s="539"/>
      <c r="H11" s="541" t="e">
        <f>VLOOKUP(J11,пр.взв!B2:G22,3,FALSE)</f>
        <v>#N/A</v>
      </c>
      <c r="I11" s="71"/>
      <c r="J11" s="69" t="str">
        <f>пр.хода!H20</f>
        <v/>
      </c>
    </row>
    <row r="12" spans="1:10" ht="18" customHeight="1">
      <c r="A12" s="544"/>
      <c r="B12" s="540"/>
      <c r="C12" s="540"/>
      <c r="D12" s="540"/>
      <c r="E12" s="540"/>
      <c r="F12" s="540"/>
      <c r="G12" s="540"/>
      <c r="H12" s="542"/>
      <c r="I12" s="71"/>
      <c r="J12" s="69"/>
    </row>
    <row r="13" spans="1:10" ht="18">
      <c r="A13" s="544"/>
      <c r="B13" s="546" t="e">
        <f>VLOOKUP(J11,пр.взв!B2:G22,4,FALSE)</f>
        <v>#N/A</v>
      </c>
      <c r="C13" s="546"/>
      <c r="D13" s="546" t="e">
        <f>VLOOKUP(J11,пр.взв!B2:G22,5,FALSE)</f>
        <v>#N/A</v>
      </c>
      <c r="E13" s="546"/>
      <c r="F13" s="546"/>
      <c r="G13" s="546"/>
      <c r="H13" s="547"/>
      <c r="I13" s="71"/>
      <c r="J13" s="69"/>
    </row>
    <row r="14" spans="1:10" ht="18.75" thickBot="1">
      <c r="A14" s="545"/>
      <c r="B14" s="534"/>
      <c r="C14" s="534"/>
      <c r="D14" s="534"/>
      <c r="E14" s="534"/>
      <c r="F14" s="534"/>
      <c r="G14" s="534"/>
      <c r="H14" s="535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36" t="s">
        <v>30</v>
      </c>
      <c r="B16" s="539" t="e">
        <f>VLOOKUP(J16,пр.взв!B4:G33,2,FALSE)</f>
        <v>#N/A</v>
      </c>
      <c r="C16" s="539"/>
      <c r="D16" s="539"/>
      <c r="E16" s="539"/>
      <c r="F16" s="539"/>
      <c r="G16" s="539"/>
      <c r="H16" s="541" t="e">
        <f>VLOOKUP(J16,пр.взв!B4:G43,3,FALSE)</f>
        <v>#N/A</v>
      </c>
      <c r="I16" s="71"/>
      <c r="J16" s="69">
        <f>пр.хода!E32</f>
        <v>0</v>
      </c>
    </row>
    <row r="17" spans="1:10" ht="18" customHeight="1">
      <c r="A17" s="537"/>
      <c r="B17" s="540"/>
      <c r="C17" s="540"/>
      <c r="D17" s="540"/>
      <c r="E17" s="540"/>
      <c r="F17" s="540"/>
      <c r="G17" s="540"/>
      <c r="H17" s="542"/>
      <c r="I17" s="71"/>
      <c r="J17" s="69"/>
    </row>
    <row r="18" spans="1:10" ht="18">
      <c r="A18" s="537"/>
      <c r="B18" s="546" t="e">
        <f>VLOOKUP(J16,пр.взв!B7:G22,4,FALSE)</f>
        <v>#N/A</v>
      </c>
      <c r="C18" s="546"/>
      <c r="D18" s="546" t="e">
        <f>VLOOKUP(J16,пр.взв!B7:G22,5,FALSE)</f>
        <v>#N/A</v>
      </c>
      <c r="E18" s="546"/>
      <c r="F18" s="546"/>
      <c r="G18" s="546"/>
      <c r="H18" s="547"/>
      <c r="I18" s="71"/>
      <c r="J18" s="69"/>
    </row>
    <row r="19" spans="1:10" ht="18.75" thickBot="1">
      <c r="A19" s="538"/>
      <c r="B19" s="534"/>
      <c r="C19" s="534"/>
      <c r="D19" s="534"/>
      <c r="E19" s="534"/>
      <c r="F19" s="534"/>
      <c r="G19" s="534"/>
      <c r="H19" s="535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36" t="s">
        <v>30</v>
      </c>
      <c r="B21" s="539" t="e">
        <f>VLOOKUP(J21,пр.взв!B2:G22,2,FALSE)</f>
        <v>#N/A</v>
      </c>
      <c r="C21" s="539"/>
      <c r="D21" s="539"/>
      <c r="E21" s="539"/>
      <c r="F21" s="539"/>
      <c r="G21" s="539"/>
      <c r="H21" s="541" t="e">
        <f>VLOOKUP(J21,пр.взв!B3:G38,3,FALSE)</f>
        <v>#N/A</v>
      </c>
      <c r="I21" s="71"/>
      <c r="J21" s="69">
        <f>пр.хода!Q32</f>
        <v>0</v>
      </c>
    </row>
    <row r="22" spans="1:10" ht="18" customHeight="1">
      <c r="A22" s="537"/>
      <c r="B22" s="540"/>
      <c r="C22" s="540"/>
      <c r="D22" s="540"/>
      <c r="E22" s="540"/>
      <c r="F22" s="540"/>
      <c r="G22" s="540"/>
      <c r="H22" s="542"/>
      <c r="I22" s="71"/>
      <c r="J22" s="69"/>
    </row>
    <row r="23" spans="1:10" ht="18">
      <c r="A23" s="537"/>
      <c r="B23" s="546" t="e">
        <f>VLOOKUP(J21,пр.взв!B6:G22,4,FALSE)</f>
        <v>#N/A</v>
      </c>
      <c r="C23" s="546"/>
      <c r="D23" s="546" t="e">
        <f>VLOOKUP(J21,пр.взв!B6:G22,5,FALSE)</f>
        <v>#N/A</v>
      </c>
      <c r="E23" s="546"/>
      <c r="F23" s="546"/>
      <c r="G23" s="546"/>
      <c r="H23" s="547"/>
      <c r="I23" s="71"/>
    </row>
    <row r="24" spans="1:10" ht="18.75" thickBot="1">
      <c r="A24" s="538"/>
      <c r="B24" s="534"/>
      <c r="C24" s="534"/>
      <c r="D24" s="534"/>
      <c r="E24" s="534"/>
      <c r="F24" s="534"/>
      <c r="G24" s="534"/>
      <c r="H24" s="535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30" t="e">
        <f>VLOOKUP(J28,пр.взв!B7:H22,7,FALSE)</f>
        <v>#N/A</v>
      </c>
      <c r="B28" s="531"/>
      <c r="C28" s="531"/>
      <c r="D28" s="531"/>
      <c r="E28" s="531"/>
      <c r="F28" s="531"/>
      <c r="G28" s="531"/>
      <c r="H28" s="532"/>
      <c r="J28">
        <f>пр.хода!H8</f>
        <v>0</v>
      </c>
    </row>
    <row r="29" spans="1:10" ht="13.5" thickBot="1">
      <c r="A29" s="533"/>
      <c r="B29" s="534"/>
      <c r="C29" s="534"/>
      <c r="D29" s="534"/>
      <c r="E29" s="534"/>
      <c r="F29" s="534"/>
      <c r="G29" s="534"/>
      <c r="H29" s="535"/>
    </row>
    <row r="32" spans="1:10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2022-01-17T19:38:11Z</cp:lastPrinted>
  <dcterms:created xsi:type="dcterms:W3CDTF">1996-10-08T23:32:33Z</dcterms:created>
  <dcterms:modified xsi:type="dcterms:W3CDTF">2022-01-18T07:11:02Z</dcterms:modified>
</cp:coreProperties>
</file>