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4562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G28" i="1" l="1"/>
  <c r="C4" i="3"/>
  <c r="C3" i="3"/>
  <c r="D5" i="4" l="1"/>
  <c r="C5" i="4"/>
  <c r="B23" i="7"/>
  <c r="B35" i="7" s="1"/>
  <c r="B43" i="7" s="1"/>
  <c r="B56" i="7" s="1"/>
  <c r="L3" i="7"/>
  <c r="L23" i="7" s="1"/>
  <c r="L35" i="7" s="1"/>
  <c r="L43" i="7" s="1"/>
  <c r="L56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<sst xmlns="http://schemas.openxmlformats.org/spreadsheetml/2006/main" count="335" uniqueCount="136">
  <si>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</si>
  <si>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</si>
  <si>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</si>
  <si>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</si>
  <si>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</si>
  <si>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</si>
  <si>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</si>
  <si>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</si>
  <si>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</si>
  <si>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</si>
  <si>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</si>
  <si>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</si>
  <si>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</si>
  <si>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</si>
  <si>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</si>
  <si>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</si>
  <si>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</si>
  <si>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</si>
  <si>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</si>
  <si>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</si>
  <si>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</si>
  <si>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</si>
  <si>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</si>
  <si>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</si>
  <si>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</si>
  <si>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</si>
  <si>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</si>
  <si>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</si>
  <si>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</si>
  <si>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</si>
  <si>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</si>
  <si>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</si>
  <si>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</si>
  <si>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</si>
  <si>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</si>
  <si>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</si>
  <si>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</si>
  <si>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</si>
  <si>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</si>
  <si>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</si>
  <si>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</si>
  <si>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</si>
  <si>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</si>
  <si>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</si>
  <si>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</si>
  <si>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</si>
  <si>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</si>
  <si>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</si>
  <si>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</si>
  <si>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</si>
  <si>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</si>
  <si>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</si>
  <si>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</si>
  <si>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</si>
  <si>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</si>
  <si>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</si>
  <si>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</si>
  <si>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</si>
  <si>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</si>
  <si>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</si>
  <si>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</si>
  <si>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</si>
  <si>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</si>
  <si>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</si>
  <si>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</si>
  <si>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</si>
  <si>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</si>
  <si>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</si>
  <si>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</si>
  <si>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</si>
  <si>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</si>
  <si>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</si>
  <si>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</si>
  <si>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</si>
  <si>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</si>
  <si>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</si>
  <si>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</si>
  <si>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</si>
  <si>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</si>
  <si>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</si>
  <si>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</si>
  <si>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</si>
  <si>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</si>
  <si>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</si>
  <si>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</si>
  <si>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</si>
  <si>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</si>
  <si>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</si>
  <si>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</si>
  <si>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</si>
  <si>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</si>
  <si>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</si>
  <si>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</si>
  <si>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</si>
  <si>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</si>
  <si>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ТРЕТЬЯКОВ  Никита  Дмитриевич </t>
  </si>
  <si>
    <t>24.05.2000, МС</t>
  </si>
  <si>
    <t>ПФО</t>
  </si>
  <si>
    <t>Р.Башкортостан ,Октябрьский, МО</t>
  </si>
  <si>
    <t>Залеев Р.Г</t>
  </si>
  <si>
    <t>НИКИТИН Никита Максимович</t>
  </si>
  <si>
    <t>19.07.2001, КМС</t>
  </si>
  <si>
    <t>Р.Татарстан, Казань, МС</t>
  </si>
  <si>
    <t>Иванов В. А.</t>
  </si>
  <si>
    <t>ДАНИЛОВ Данил Юрьевич</t>
  </si>
  <si>
    <t>12.02.2003, КМС</t>
  </si>
  <si>
    <t>Чувашская, Чебоксары, МС</t>
  </si>
  <si>
    <t xml:space="preserve">Пегасов С.В. Малов С.А. Матвеев Р.В </t>
  </si>
  <si>
    <t>СТАРИКОВ Урсул Рустамович</t>
  </si>
  <si>
    <t>26.03.2000, МС</t>
  </si>
  <si>
    <t>СФО</t>
  </si>
  <si>
    <t>Р.Алтай, Горно-Алтайск, ПР</t>
  </si>
  <si>
    <t>Семендеев Э.С.</t>
  </si>
  <si>
    <t>КРИВОНОГОВ Никита Эдуардович</t>
  </si>
  <si>
    <t>21.09.2002, КМС</t>
  </si>
  <si>
    <t>УФО</t>
  </si>
  <si>
    <t>ХМАО-Югра, Нижневартовск, ВС</t>
  </si>
  <si>
    <t xml:space="preserve">Воробьев В. В., Ситдиков О. Р. </t>
  </si>
  <si>
    <t>БАРЛЕЕВ Иван Евгеньевич</t>
  </si>
  <si>
    <t>06.11.1999, КМС</t>
  </si>
  <si>
    <t>ЦФО</t>
  </si>
  <si>
    <t>Ярославская, Рыбинск, МО</t>
  </si>
  <si>
    <t>Антропов И.С</t>
  </si>
  <si>
    <t>ХАЧАТУРЯН  Артуш  Ованесович</t>
  </si>
  <si>
    <t>04.04.2003, МС</t>
  </si>
  <si>
    <t>ЮФО</t>
  </si>
  <si>
    <t>Краснодарский, Армавир, ВС</t>
  </si>
  <si>
    <t>Бородин В.Г</t>
  </si>
  <si>
    <t>САФАРЯН Михаил  Арменакович</t>
  </si>
  <si>
    <t>13.10.2003, КМС</t>
  </si>
  <si>
    <t>Мгдсян Е.З</t>
  </si>
  <si>
    <t xml:space="preserve">МЕЛИКЯН  Юрий  Владимирович </t>
  </si>
  <si>
    <t>12.06.2001, МС</t>
  </si>
  <si>
    <t>Краснодарский, Армавир, Д</t>
  </si>
  <si>
    <t xml:space="preserve">Псеунов Мурат Амербиевич </t>
  </si>
  <si>
    <t>В.к. 53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</si>
</sst>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sz val="24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9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47" fillId="0" borderId="0" xfId="0" applyFont="1"/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left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45" fillId="2" borderId="57" xfId="1" applyFont="1" applyFill="1" applyBorder="1" applyAlignment="1" applyProtection="1">
      <alignment horizontal="center" vertical="center" wrapText="1"/>
      <protection locked="0"/>
    </xf>
    <xf numFmtId="0" fontId="45" fillId="2" borderId="58" xfId="1" applyFont="1" applyFill="1" applyBorder="1" applyAlignment="1" applyProtection="1">
      <alignment horizontal="center" vertical="center" wrapText="1"/>
      <protection locked="0"/>
    </xf>
    <xf numFmtId="0" fontId="4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36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38100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workbookViewId="0">
      <selection activeCell="Y2" sqref="Y2:AI14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99" t="s">
        <v>72</v>
      </c>
      <c r="B1" s="299"/>
      <c r="C1" s="299"/>
      <c r="D1" s="299"/>
      <c r="E1" s="299"/>
      <c r="F1" s="299"/>
      <c r="G1" s="299"/>
      <c r="H1" s="299"/>
    </row>
    <row r="2" spans="1:35" ht="54" customHeight="1">
      <c r="A2" s="226"/>
      <c r="B2" s="300" t="str">
        <f>[1]реквизиты!$A$2</f>
        <v>Первенство России по самбо среди юниоров и юниорок до 24 лет  ЕКП № 1802, отбор на Кубок Европы 2022г.</v>
      </c>
      <c r="C2" s="300"/>
      <c r="D2" s="300"/>
      <c r="E2" s="300"/>
      <c r="F2" s="300"/>
      <c r="G2" s="300"/>
      <c r="H2" s="227"/>
      <c r="I2" s="214"/>
      <c r="J2" s="214"/>
      <c r="K2" s="214"/>
      <c r="Y2" s="283">
        <v>53</v>
      </c>
    </row>
    <row r="3" spans="1:35" ht="12.75" customHeight="1">
      <c r="A3" s="301" t="str">
        <f>[1]реквизиты!$A$3</f>
        <v>17-21 января 2022года                          г.Кстово</v>
      </c>
      <c r="B3" s="301"/>
      <c r="C3" s="301"/>
      <c r="D3" s="301"/>
      <c r="E3" s="301"/>
      <c r="F3" s="301"/>
      <c r="G3" s="301"/>
      <c r="H3" s="301"/>
    </row>
    <row r="4" spans="1:35" ht="12.75" customHeight="1">
      <c r="D4" s="2" t="s">
        <v>135</v>
      </c>
      <c r="E4" s="2"/>
      <c r="Y4" s="287" t="s">
        <v>69</v>
      </c>
      <c r="Z4" s="287"/>
      <c r="AA4" s="287"/>
      <c r="AB4" s="287"/>
      <c r="AC4" s="287"/>
      <c r="AD4" s="287"/>
      <c r="AE4" s="287"/>
    </row>
    <row r="5" spans="1:35" ht="12.75" customHeight="1" thickBot="1">
      <c r="A5" s="293" t="s">
        <v>73</v>
      </c>
      <c r="B5" s="302" t="s">
        <v>4</v>
      </c>
      <c r="C5" s="293" t="s">
        <v>5</v>
      </c>
      <c r="D5" s="293" t="s">
        <v>6</v>
      </c>
      <c r="E5" s="295" t="s">
        <v>7</v>
      </c>
      <c r="F5" s="296"/>
      <c r="G5" s="293" t="s">
        <v>9</v>
      </c>
      <c r="H5" s="293" t="s">
        <v>8</v>
      </c>
      <c r="Q5" s="288"/>
      <c r="R5" s="288"/>
      <c r="S5" s="288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94"/>
      <c r="B6" s="294"/>
      <c r="C6" s="294"/>
      <c r="D6" s="294"/>
      <c r="E6" s="297"/>
      <c r="F6" s="298"/>
      <c r="G6" s="294"/>
      <c r="H6" s="294"/>
      <c r="J6" s="183"/>
      <c r="K6" s="183"/>
      <c r="L6" s="183"/>
      <c r="M6" s="183"/>
      <c r="N6" s="183"/>
      <c r="O6" s="183"/>
      <c r="P6" s="228"/>
      <c r="Q6" s="228" t="str">
        <f>N7</f>
        <v>КМС</v>
      </c>
      <c r="R6" s="228" t="str">
        <f>N8</f>
        <v>МС</v>
      </c>
      <c r="S6" s="185" t="str">
        <f>N9</f>
        <v/>
      </c>
      <c r="T6" s="185" t="str">
        <f>N10</f>
        <v/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КМС</v>
      </c>
      <c r="AA6" s="217" t="str">
        <f t="shared" si="0"/>
        <v>МС</v>
      </c>
      <c r="AB6" s="218" t="str">
        <f t="shared" si="0"/>
        <v/>
      </c>
      <c r="AC6" s="218" t="str">
        <f t="shared" si="0"/>
        <v/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1.95" customHeight="1">
      <c r="A7" s="229" t="s">
        <v>74</v>
      </c>
      <c r="B7" s="230">
        <v>1</v>
      </c>
      <c r="C7" s="231" t="s">
        <v>118</v>
      </c>
      <c r="D7" s="232" t="s">
        <v>119</v>
      </c>
      <c r="E7" s="233" t="s">
        <v>120</v>
      </c>
      <c r="F7" s="232" t="s">
        <v>121</v>
      </c>
      <c r="G7" s="234"/>
      <c r="H7" s="235" t="s">
        <v>122</v>
      </c>
      <c r="I7" s="236"/>
      <c r="J7" s="237">
        <v>1</v>
      </c>
      <c r="K7" s="225" t="str">
        <f>IFERROR(RIGHT(D7,LEN(D7)-FIND("*",SUBSTITUTE(D7," ","*",LEN(D7)-LEN(SUBSTITUTE(D7," ",""))))),D7)</f>
        <v>КМС</v>
      </c>
      <c r="L7" s="225" t="str">
        <f>IFERROR(LEFT(F7,FIND(",",F7)-1),F7)</f>
        <v>Ярославская</v>
      </c>
      <c r="M7" s="238" t="str">
        <f t="array" ref="M7">IFERROR(INDEX(субъект,MATCH(SUM(COUNTIF(M$6:M6,субъект)),COUNTIF(субъект,"&lt;"&amp;субъект),0)),"")</f>
        <v>Краснодарский</v>
      </c>
      <c r="N7" s="238" t="str">
        <f t="array" ref="N7">IFERROR(INDEX(разряд,MATCH(SUM(COUNTIF(N$6:N6,разряд)),COUNTIF(разряд,"&lt;"&amp;разряд),0)),"")</f>
        <v>КМС</v>
      </c>
      <c r="O7" s="239">
        <v>1</v>
      </c>
      <c r="P7" s="184" t="str">
        <f t="shared" ref="P7:P22" si="1">M7</f>
        <v>Краснодарский</v>
      </c>
      <c r="Q7" s="187">
        <f t="shared" ref="Q7:Q22" si="2">SUMIFS($J$7:$J$38,$L$7:$L$38,P7,$K$7:$K$38,Q$6)</f>
        <v>1</v>
      </c>
      <c r="R7" s="187">
        <f t="shared" ref="R7:R22" si="3">SUMIFS($J$7:$J$38,$L$7:$L$38,P7,$K$7:$K$38,R$6)</f>
        <v>2</v>
      </c>
      <c r="S7" s="240">
        <f t="shared" ref="S7:S22" si="4">SUMIFS($J$7:$J$38,$L$7:$L$38,P7,$K$7:$K$38,S$6)</f>
        <v>0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>Краснодарский</v>
      </c>
      <c r="Z7" s="222">
        <f>IF(Q7=0," ",Q7)</f>
        <v>1</v>
      </c>
      <c r="AA7" s="222">
        <f>IF(R7=0," ",R7)</f>
        <v>2</v>
      </c>
      <c r="AB7" s="222" t="str">
        <f>IF(S7=0," ",S7)</f>
        <v xml:space="preserve"> 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89">
        <f>SUM(Z7:AF22)</f>
        <v>9</v>
      </c>
      <c r="AI7" s="290"/>
    </row>
    <row r="8" spans="1:35" ht="21.95" customHeight="1" thickBot="1">
      <c r="A8" s="229" t="s">
        <v>75</v>
      </c>
      <c r="B8" s="230">
        <v>2</v>
      </c>
      <c r="C8" s="231" t="s">
        <v>113</v>
      </c>
      <c r="D8" s="232" t="s">
        <v>114</v>
      </c>
      <c r="E8" s="233" t="s">
        <v>115</v>
      </c>
      <c r="F8" s="232" t="s">
        <v>116</v>
      </c>
      <c r="G8" s="234"/>
      <c r="H8" s="235" t="s">
        <v>117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КМС</v>
      </c>
      <c r="L8" s="225" t="str">
        <f t="shared" ref="L8:L22" si="11">IFERROR(LEFT(F8,FIND(",",F8)-1),F8)</f>
        <v>ХМАО-Югра</v>
      </c>
      <c r="M8" s="238" t="str">
        <f t="array" ref="M8">IFERROR(INDEX(субъект,MATCH(SUM(COUNTIF(M$6:M7,субъект)),COUNTIF(субъект,"&lt;"&amp;субъект),0)),"")</f>
        <v>Р.Алтай</v>
      </c>
      <c r="N8" s="238" t="str">
        <f t="array" ref="N8">IFERROR(INDEX(разряд,MATCH(SUM(COUNTIF(N$6:N7,разряд)),COUNTIF(разряд,"&lt;"&amp;разряд),0)),"")</f>
        <v>МС</v>
      </c>
      <c r="O8" s="239">
        <v>2</v>
      </c>
      <c r="P8" s="184" t="str">
        <f t="shared" si="1"/>
        <v>Р.Алтай</v>
      </c>
      <c r="Q8" s="187">
        <f t="shared" si="2"/>
        <v>0</v>
      </c>
      <c r="R8" s="187">
        <f t="shared" si="3"/>
        <v>1</v>
      </c>
      <c r="S8" s="240">
        <f t="shared" si="4"/>
        <v>0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>Р.Алтай</v>
      </c>
      <c r="Z8" s="186" t="str">
        <f>IF($Y$8=$Y$7," ",IF(Q8=0," ",Q8))</f>
        <v xml:space="preserve"> </v>
      </c>
      <c r="AA8" s="186">
        <f>IF($Y$8=$Y$7," ",IF(R8=0," ",R8))</f>
        <v>1</v>
      </c>
      <c r="AB8" s="186" t="str">
        <f>IF($Y$8=$Y$7," ",IF(S8=0," ",S8))</f>
        <v xml:space="preserve"> 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1"/>
      <c r="AI8" s="292"/>
    </row>
    <row r="9" spans="1:35" ht="21.95" customHeight="1">
      <c r="A9" s="229" t="s">
        <v>76</v>
      </c>
      <c r="B9" s="230">
        <v>3</v>
      </c>
      <c r="C9" s="231" t="s">
        <v>108</v>
      </c>
      <c r="D9" s="232" t="s">
        <v>109</v>
      </c>
      <c r="E9" s="233" t="s">
        <v>110</v>
      </c>
      <c r="F9" s="232" t="s">
        <v>111</v>
      </c>
      <c r="G9" s="234"/>
      <c r="H9" s="235" t="s">
        <v>112</v>
      </c>
      <c r="I9" s="236"/>
      <c r="J9" s="237">
        <v>1</v>
      </c>
      <c r="K9" s="225" t="str">
        <f t="shared" si="10"/>
        <v>МС</v>
      </c>
      <c r="L9" s="225" t="str">
        <f t="shared" si="11"/>
        <v>Р.Алтай</v>
      </c>
      <c r="M9" s="238" t="str">
        <f t="array" ref="M9">IFERROR(INDEX(субъект,MATCH(SUM(COUNTIF(M$6:M8,субъект)),COUNTIF(субъект,"&lt;"&amp;субъект),0)),"")</f>
        <v xml:space="preserve">Р.Башкортостан </v>
      </c>
      <c r="N9" s="238" t="str">
        <f t="array" ref="N9">IFERROR(INDEX(разряд,MATCH(SUM(COUNTIF(N$6:N8,разряд)),COUNTIF(разряд,"&lt;"&amp;разряд),0)),"")</f>
        <v/>
      </c>
      <c r="O9" s="239">
        <v>3</v>
      </c>
      <c r="P9" s="184" t="str">
        <f t="shared" si="1"/>
        <v xml:space="preserve">Р.Башкортостан </v>
      </c>
      <c r="Q9" s="187">
        <f t="shared" si="2"/>
        <v>0</v>
      </c>
      <c r="R9" s="187">
        <f t="shared" si="3"/>
        <v>1</v>
      </c>
      <c r="S9" s="240">
        <f t="shared" si="4"/>
        <v>0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 xml:space="preserve">Р.Башкортостан </v>
      </c>
      <c r="Z9" s="186" t="str">
        <f>IF(OR($Y9=$Y7,$Y9=$Y8)," ",IF(Q9=0," ",Q9))</f>
        <v xml:space="preserve"> </v>
      </c>
      <c r="AA9" s="186">
        <f>IF(OR($Y9=$Y7,$Y9=$Y8)," ",IF(R9=0," ",R9))</f>
        <v>1</v>
      </c>
      <c r="AB9" s="186" t="str">
        <f>IF(OR($Y9=$Y7,$Y9=$Y8)," ",IF(S9=0," ",S9))</f>
        <v xml:space="preserve"> 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1.95" customHeight="1">
      <c r="A10" s="229" t="s">
        <v>77</v>
      </c>
      <c r="B10" s="230">
        <v>4</v>
      </c>
      <c r="C10" s="231" t="s">
        <v>104</v>
      </c>
      <c r="D10" s="232" t="s">
        <v>105</v>
      </c>
      <c r="E10" s="233" t="s">
        <v>97</v>
      </c>
      <c r="F10" s="232" t="s">
        <v>106</v>
      </c>
      <c r="G10" s="234"/>
      <c r="H10" s="235" t="s">
        <v>107</v>
      </c>
      <c r="I10" s="236"/>
      <c r="J10" s="237">
        <v>1</v>
      </c>
      <c r="K10" s="225" t="str">
        <f t="shared" si="10"/>
        <v>КМС</v>
      </c>
      <c r="L10" s="225" t="str">
        <f t="shared" si="11"/>
        <v>Чувашская</v>
      </c>
      <c r="M10" s="238" t="str">
        <f t="array" ref="M10">IFERROR(INDEX(субъект,MATCH(SUM(COUNTIF(M$6:M9,субъект)),COUNTIF(субъект,"&lt;"&amp;субъект),0)),"")</f>
        <v>Р.Татарстан</v>
      </c>
      <c r="N10" s="238" t="str">
        <f t="array" ref="N10">IFERROR(INDEX(разряд,MATCH(SUM(COUNTIF(N$6:N9,разряд)),COUNTIF(разряд,"&lt;"&amp;разряд),0)),"")</f>
        <v/>
      </c>
      <c r="O10" s="239">
        <v>4</v>
      </c>
      <c r="P10" s="184" t="str">
        <f t="shared" si="1"/>
        <v>Р.Татарстан</v>
      </c>
      <c r="Q10" s="187">
        <f t="shared" si="2"/>
        <v>1</v>
      </c>
      <c r="R10" s="187">
        <f t="shared" si="3"/>
        <v>0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>Р.Татарстан</v>
      </c>
      <c r="Z10" s="186">
        <f>IF(OR($Y10=$Y8,$Y10=$Y9,$Y10=$Y7)," ",IF(Q10=0," ",Q10))</f>
        <v>1</v>
      </c>
      <c r="AA10" s="186" t="str">
        <f>IF(OR($Y10=$Y8,$Y10=$Y9,$Y10=$Y7)," ",IF(R10=0," ",R10))</f>
        <v xml:space="preserve"> 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1.95" customHeight="1">
      <c r="A11" s="229" t="s">
        <v>78</v>
      </c>
      <c r="B11" s="230">
        <v>5</v>
      </c>
      <c r="C11" s="231" t="s">
        <v>123</v>
      </c>
      <c r="D11" s="232" t="s">
        <v>124</v>
      </c>
      <c r="E11" s="233" t="s">
        <v>125</v>
      </c>
      <c r="F11" s="232" t="s">
        <v>126</v>
      </c>
      <c r="G11" s="234"/>
      <c r="H11" s="235" t="s">
        <v>127</v>
      </c>
      <c r="I11" s="236"/>
      <c r="J11" s="237">
        <v>1</v>
      </c>
      <c r="K11" s="225" t="str">
        <f t="shared" si="10"/>
        <v>МС</v>
      </c>
      <c r="L11" s="225" t="str">
        <f t="shared" si="11"/>
        <v>Краснодарский</v>
      </c>
      <c r="M11" s="238" t="str">
        <f t="array" ref="M11">IFERROR(INDEX(субъект,MATCH(SUM(COUNTIF(M$6:M10,субъект)),COUNTIF(субъект,"&lt;"&amp;субъект),0)),"")</f>
        <v>ХМАО-Югра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>ХМАО-Югра</v>
      </c>
      <c r="Q11" s="187">
        <f t="shared" si="2"/>
        <v>1</v>
      </c>
      <c r="R11" s="187">
        <f t="shared" si="3"/>
        <v>0</v>
      </c>
      <c r="S11" s="240">
        <f t="shared" si="4"/>
        <v>0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>ХМАО-Югра</v>
      </c>
      <c r="Z11" s="186">
        <f>IF(OR($Y11=$Y9,$Y11=$Y10,$Y11=$Y8,$Y11=$Y7)," ",IF(Q11=0," ",Q11))</f>
        <v>1</v>
      </c>
      <c r="AA11" s="186" t="str">
        <f>IF(OR($Y11=$Y9,$Y11=$Y10,$Y11=$Y8,$Y11=$Y7)," ",IF(R11=0," ",R11))</f>
        <v xml:space="preserve"> </v>
      </c>
      <c r="AB11" s="186" t="str">
        <f>IF(OR($Y11=$Y9,$Y11=$Y10,$Y11=$Y8,$Y11=$Y7)," ",IF(S11=0," ",S11))</f>
        <v xml:space="preserve"> 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1.95" customHeight="1">
      <c r="A12" s="229" t="s">
        <v>79</v>
      </c>
      <c r="B12" s="230">
        <v>6</v>
      </c>
      <c r="C12" s="231" t="s">
        <v>131</v>
      </c>
      <c r="D12" s="232" t="s">
        <v>132</v>
      </c>
      <c r="E12" s="233" t="s">
        <v>125</v>
      </c>
      <c r="F12" s="232" t="s">
        <v>133</v>
      </c>
      <c r="G12" s="234"/>
      <c r="H12" s="235" t="s">
        <v>134</v>
      </c>
      <c r="I12" s="236"/>
      <c r="J12" s="237">
        <v>1</v>
      </c>
      <c r="K12" s="225" t="str">
        <f t="shared" si="10"/>
        <v>МС</v>
      </c>
      <c r="L12" s="225" t="str">
        <f t="shared" si="11"/>
        <v>Краснодарский</v>
      </c>
      <c r="M12" s="238" t="str">
        <f t="array" ref="M12">IFERROR(INDEX(субъект,MATCH(SUM(COUNTIF(M$6:M11,субъект)),COUNTIF(субъект,"&lt;"&amp;субъект),0)),"")</f>
        <v>Чувашская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>Чувашская</v>
      </c>
      <c r="Q12" s="187">
        <f t="shared" si="2"/>
        <v>1</v>
      </c>
      <c r="R12" s="187">
        <f t="shared" si="3"/>
        <v>0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>Чувашская</v>
      </c>
      <c r="Z12" s="186">
        <f>IF(OR($Y12=$Y10,$Y12=$Y11,$Y12=$Y9,$Y12=$Y8,$Y12=$Y7)," ",IF(Q12=0," ",Q12))</f>
        <v>1</v>
      </c>
      <c r="AA12" s="186" t="str">
        <f>IF(OR($Y12=$Y10,$Y12=$Y11,$Y12=$Y9,$Y12=$Y8,$Y12=$Y7)," ",IF(R12=0," ",R12))</f>
        <v xml:space="preserve"> 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1.95" customHeight="1">
      <c r="A13" s="229" t="s">
        <v>80</v>
      </c>
      <c r="B13" s="230">
        <v>7</v>
      </c>
      <c r="C13" s="231" t="s">
        <v>95</v>
      </c>
      <c r="D13" s="232" t="s">
        <v>96</v>
      </c>
      <c r="E13" s="233" t="s">
        <v>97</v>
      </c>
      <c r="F13" s="232" t="s">
        <v>98</v>
      </c>
      <c r="G13" s="234"/>
      <c r="H13" s="235" t="s">
        <v>99</v>
      </c>
      <c r="I13" s="236"/>
      <c r="J13" s="237">
        <v>1</v>
      </c>
      <c r="K13" s="225" t="str">
        <f t="shared" si="10"/>
        <v>МС</v>
      </c>
      <c r="L13" s="225" t="str">
        <f t="shared" si="11"/>
        <v xml:space="preserve">Р.Башкортостан </v>
      </c>
      <c r="M13" s="238" t="str">
        <f t="array" ref="M13">IFERROR(INDEX(субъект,MATCH(SUM(COUNTIF(M$6:M12,субъект)),COUNTIF(субъект,"&lt;"&amp;субъект),0)),"")</f>
        <v>Ярославская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>Ярославская</v>
      </c>
      <c r="Q13" s="187">
        <f t="shared" si="2"/>
        <v>1</v>
      </c>
      <c r="R13" s="187">
        <f t="shared" si="3"/>
        <v>0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>Ярославская</v>
      </c>
      <c r="Z13" s="186">
        <f>IF(OR($Y13=$Y11,$Y13=$Y12,$Y13=$Y10,$Y13=$Y9,$Y13=$Y8,$Y13=$Y7)," ",IF(Q13=0," ",Q13))</f>
        <v>1</v>
      </c>
      <c r="AA13" s="186" t="str">
        <f>IF(OR($Y13=$Y11,$Y13=$Y12,$Y13=$Y10,$Y13=$Y9,$Y13=$Y8,$Y13=$Y7)," ",IF(R13=0," ",R13))</f>
        <v xml:space="preserve"> 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1.95" customHeight="1">
      <c r="A14" s="229" t="s">
        <v>81</v>
      </c>
      <c r="B14" s="230">
        <v>8</v>
      </c>
      <c r="C14" s="231" t="s">
        <v>128</v>
      </c>
      <c r="D14" s="232" t="s">
        <v>129</v>
      </c>
      <c r="E14" s="233" t="s">
        <v>125</v>
      </c>
      <c r="F14" s="232" t="s">
        <v>126</v>
      </c>
      <c r="G14" s="234"/>
      <c r="H14" s="235" t="s">
        <v>130</v>
      </c>
      <c r="I14" s="236"/>
      <c r="J14" s="237">
        <v>1</v>
      </c>
      <c r="K14" s="225" t="str">
        <f t="shared" si="10"/>
        <v>КМС</v>
      </c>
      <c r="L14" s="225" t="str">
        <f t="shared" si="11"/>
        <v>Краснодарский</v>
      </c>
      <c r="M14" s="238" t="str">
        <f t="array" ref="M14">IFERROR(INDEX(субъект,MATCH(SUM(COUNTIF(M$6:M13,субъект)),COUNTIF(субъект,"&lt;"&amp;субъект),0)),"")</f>
        <v/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/>
      </c>
      <c r="Q14" s="187">
        <f t="shared" si="2"/>
        <v>0</v>
      </c>
      <c r="R14" s="187">
        <f t="shared" si="3"/>
        <v>0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/>
      </c>
      <c r="Z14" s="186" t="str">
        <f>IF(OR($Y14=$Y12,$Y14=$Y13,$Y14=$Y11,$Y14=$Y10,$Y14=$Y9,$Y14=$Y7)," ",IF(Q14=0," ",Q14))</f>
        <v xml:space="preserve"> </v>
      </c>
      <c r="AA14" s="186" t="str">
        <f>IF(OR($Y14=$Y12,$Y14=$Y13,$Y14=$Y11,$Y14=$Y10,$Y14=$Y9,$Y14=$Y7)," ",IF(R14=0," ",R14))</f>
        <v xml:space="preserve"> 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1.95" customHeight="1">
      <c r="A15" s="229" t="s">
        <v>82</v>
      </c>
      <c r="B15" s="230">
        <v>9</v>
      </c>
      <c r="C15" s="231" t="s">
        <v>100</v>
      </c>
      <c r="D15" s="232" t="s">
        <v>101</v>
      </c>
      <c r="E15" s="233" t="s">
        <v>97</v>
      </c>
      <c r="F15" s="232" t="s">
        <v>102</v>
      </c>
      <c r="G15" s="234"/>
      <c r="H15" s="235" t="s">
        <v>103</v>
      </c>
      <c r="I15" s="236"/>
      <c r="J15" s="237">
        <v>1</v>
      </c>
      <c r="K15" s="225" t="str">
        <f t="shared" si="10"/>
        <v>КМС</v>
      </c>
      <c r="L15" s="225" t="str">
        <f t="shared" si="11"/>
        <v>Р.Татарстан</v>
      </c>
      <c r="M15" s="238" t="str">
        <f t="array" ref="M15">IFERROR(INDEX(субъект,MATCH(SUM(COUNTIF(M$6:M14,субъект)),COUNTIF(субъект,"&lt;"&amp;субъект),0)),"")</f>
        <v/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/>
      </c>
      <c r="Q15" s="187">
        <f t="shared" si="2"/>
        <v>0</v>
      </c>
      <c r="R15" s="187">
        <f t="shared" si="3"/>
        <v>0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/>
      </c>
      <c r="Z15" s="186" t="str">
        <f>IF(OR($Y15=$Y13,$Y15=$Y14,$Y15=$Y12,$Y15=$Y11,$Y15=$Y10,$Y15=$Y8,$Y15=$Y7)," ",IF(Q15=0," ",Q15))</f>
        <v xml:space="preserve"> </v>
      </c>
      <c r="AA15" s="186" t="str">
        <f>IF(OR($Y15=$Y13,$Y15=$Y14,$Y15=$Y12,$Y15=$Y11,$Y15=$Y10,$Y15=$Y8,$Y15=$Y7)," ",IF(R15=0," ",R15))</f>
        <v xml:space="preserve"> 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1.95" customHeight="1">
      <c r="A16" s="229" t="s">
        <v>83</v>
      </c>
      <c r="B16" s="230"/>
      <c r="C16" s="231"/>
      <c r="D16" s="232"/>
      <c r="E16" s="233"/>
      <c r="F16" s="232"/>
      <c r="G16" s="234"/>
      <c r="H16" s="235"/>
      <c r="I16" s="236"/>
      <c r="J16" s="237">
        <v>1</v>
      </c>
      <c r="K16" s="225">
        <f t="shared" si="10"/>
        <v>0</v>
      </c>
      <c r="L16" s="225">
        <f t="shared" si="11"/>
        <v>0</v>
      </c>
      <c r="M16" s="238" t="str">
        <f t="array" ref="M16">IFERROR(INDEX(субъект,MATCH(SUM(COUNTIF(M$6:M15,субъект)),COUNTIF(субъект,"&lt;"&amp;субъект),0)),"")</f>
        <v/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/>
      </c>
      <c r="Q16" s="187">
        <f t="shared" si="2"/>
        <v>0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/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1.95" customHeight="1">
      <c r="A17" s="229" t="s">
        <v>84</v>
      </c>
      <c r="B17" s="230"/>
      <c r="C17" s="231"/>
      <c r="D17" s="232"/>
      <c r="E17" s="233"/>
      <c r="F17" s="232"/>
      <c r="G17" s="234"/>
      <c r="H17" s="235"/>
      <c r="I17" s="236"/>
      <c r="J17" s="237">
        <v>1</v>
      </c>
      <c r="K17" s="225">
        <f t="shared" si="10"/>
        <v>0</v>
      </c>
      <c r="L17" s="225">
        <f t="shared" si="11"/>
        <v>0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1.95" customHeight="1">
      <c r="A18" s="229" t="s">
        <v>85</v>
      </c>
      <c r="B18" s="230"/>
      <c r="C18" s="231"/>
      <c r="D18" s="232"/>
      <c r="E18" s="233"/>
      <c r="F18" s="232"/>
      <c r="G18" s="234"/>
      <c r="H18" s="235"/>
      <c r="I18" s="236"/>
      <c r="J18" s="237">
        <v>1</v>
      </c>
      <c r="K18" s="225">
        <f t="shared" si="10"/>
        <v>0</v>
      </c>
      <c r="L18" s="225">
        <f t="shared" si="11"/>
        <v>0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1.95" customHeight="1">
      <c r="A19" s="229" t="s">
        <v>86</v>
      </c>
      <c r="B19" s="230"/>
      <c r="C19" s="231"/>
      <c r="D19" s="232"/>
      <c r="E19" s="233"/>
      <c r="F19" s="232"/>
      <c r="G19" s="234"/>
      <c r="H19" s="235"/>
      <c r="I19" s="236"/>
      <c r="J19" s="237">
        <v>1</v>
      </c>
      <c r="K19" s="225">
        <f t="shared" si="10"/>
        <v>0</v>
      </c>
      <c r="L19" s="225">
        <f t="shared" si="11"/>
        <v>0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1.95" customHeight="1">
      <c r="A20" s="229" t="s">
        <v>87</v>
      </c>
      <c r="B20" s="230"/>
      <c r="C20" s="231"/>
      <c r="D20" s="232"/>
      <c r="E20" s="233"/>
      <c r="F20" s="232"/>
      <c r="G20" s="234"/>
      <c r="H20" s="235"/>
      <c r="I20" s="236"/>
      <c r="J20" s="237">
        <v>1</v>
      </c>
      <c r="K20" s="225">
        <f t="shared" si="10"/>
        <v>0</v>
      </c>
      <c r="L20" s="225">
        <f t="shared" si="11"/>
        <v>0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1.95" customHeight="1">
      <c r="A21" s="229" t="s">
        <v>88</v>
      </c>
      <c r="B21" s="230"/>
      <c r="C21" s="231"/>
      <c r="D21" s="232"/>
      <c r="E21" s="233"/>
      <c r="F21" s="232"/>
      <c r="G21" s="234"/>
      <c r="H21" s="235"/>
      <c r="I21" s="236"/>
      <c r="J21" s="237">
        <v>1</v>
      </c>
      <c r="K21" s="225">
        <f t="shared" si="10"/>
        <v>0</v>
      </c>
      <c r="L21" s="225">
        <f t="shared" si="11"/>
        <v>0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1.95" customHeight="1">
      <c r="A22" s="229" t="s">
        <v>89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>
      <c r="A23" s="86" t="s">
        <v>46</v>
      </c>
      <c r="D23" s="224"/>
      <c r="E23" s="224"/>
      <c r="F23" s="224"/>
      <c r="G23" s="224"/>
      <c r="H23" s="224"/>
      <c r="I23" s="4"/>
      <c r="J23" s="284"/>
      <c r="K23" s="285"/>
      <c r="L23" s="286"/>
      <c r="M23" s="221"/>
      <c r="N23" s="221"/>
      <c r="O23" s="4"/>
    </row>
    <row r="24" spans="1:32">
      <c r="D24" s="224"/>
      <c r="E24" s="224"/>
      <c r="F24" s="224"/>
      <c r="G24" s="224"/>
      <c r="H24" s="224"/>
      <c r="J24" s="284"/>
      <c r="K24" s="285"/>
      <c r="L24" s="286"/>
      <c r="M24" s="221"/>
      <c r="N24" s="221"/>
      <c r="O24" s="4"/>
    </row>
    <row r="25" spans="1:32">
      <c r="A25" s="86" t="s">
        <v>47</v>
      </c>
      <c r="D25" s="224"/>
      <c r="E25" s="224"/>
      <c r="F25" s="224"/>
      <c r="G25" s="224"/>
      <c r="H25" s="224"/>
      <c r="J25" s="284"/>
      <c r="K25" s="285"/>
      <c r="L25" s="286"/>
      <c r="M25" s="221"/>
      <c r="N25" s="221"/>
      <c r="O25" s="4"/>
    </row>
    <row r="26" spans="1:32">
      <c r="D26" s="224"/>
      <c r="E26" s="224"/>
      <c r="F26" s="224"/>
      <c r="G26" s="224"/>
      <c r="H26" s="224"/>
      <c r="J26" s="284"/>
      <c r="K26" s="285"/>
      <c r="L26" s="286"/>
      <c r="M26" s="221"/>
      <c r="N26" s="221"/>
      <c r="O26" s="4"/>
    </row>
    <row r="27" spans="1:32">
      <c r="A27" s="86" t="s">
        <v>48</v>
      </c>
      <c r="D27" s="224"/>
      <c r="E27" s="224"/>
      <c r="F27" s="224"/>
      <c r="G27" s="224"/>
      <c r="H27" s="224"/>
      <c r="J27" s="284"/>
      <c r="K27" s="285"/>
      <c r="L27" s="286"/>
      <c r="M27" s="221"/>
      <c r="N27" s="221"/>
      <c r="O27" s="4"/>
    </row>
    <row r="28" spans="1:32">
      <c r="D28" s="224"/>
      <c r="E28" s="224"/>
      <c r="F28" s="224"/>
      <c r="G28" s="224"/>
      <c r="H28" s="224"/>
      <c r="J28" s="284"/>
      <c r="K28" s="285"/>
      <c r="L28" s="286"/>
      <c r="M28" s="221"/>
      <c r="N28" s="221"/>
      <c r="O28" s="4"/>
    </row>
    <row r="29" spans="1:32">
      <c r="A29" s="86" t="s">
        <v>49</v>
      </c>
      <c r="D29" s="224"/>
      <c r="E29" s="224"/>
      <c r="F29" s="224"/>
      <c r="G29" s="224"/>
      <c r="H29" s="224"/>
      <c r="J29" s="284"/>
      <c r="K29" s="285"/>
      <c r="L29" s="286"/>
      <c r="M29" s="221"/>
      <c r="N29" s="221"/>
      <c r="O29" s="4"/>
    </row>
    <row r="30" spans="1:32">
      <c r="A30" s="224"/>
      <c r="B30" s="224"/>
      <c r="C30" s="224"/>
      <c r="D30" s="224"/>
      <c r="E30" s="224"/>
      <c r="F30" s="224"/>
      <c r="G30" s="224"/>
      <c r="H30" s="224"/>
      <c r="J30" s="284"/>
      <c r="K30" s="285"/>
      <c r="L30" s="286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6</xdr:col>
                    <xdr:colOff>0</xdr:colOff>
                    <xdr:row>3</xdr:row>
                    <xdr:rowOff>38100</xdr:rowOff>
                  </from>
                  <to>
                    <xdr:col>6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257175</xdr:colOff>
                    <xdr:row>3</xdr:row>
                    <xdr:rowOff>38100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abSelected="1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82" t="s">
        <v>22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83" t="s">
        <v>23</v>
      </c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46" t="str">
        <f>пр.взв!B2</f>
        <v>Первенство России по самбо среди юниоров и юниорок до 24 лет  ЕКП № 1802, отбор на Кубок Европы 2022г.</v>
      </c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8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49" t="str">
        <f>пр.взв!A3</f>
        <v>17-21 января 2022года                          г.Кстово</v>
      </c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52" t="str">
        <f>пр.взв!D4</f>
        <v>В.к. 53 кг.</v>
      </c>
      <c r="K5" s="353"/>
      <c r="L5" s="354"/>
      <c r="M5" s="355" t="str">
        <f>Y5&amp;" "&amp;Z5</f>
        <v>9 участников</v>
      </c>
      <c r="N5" s="356"/>
      <c r="O5" s="357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9</v>
      </c>
      <c r="Z5" s="266" t="s">
        <v>91</v>
      </c>
      <c r="AA5" s="112"/>
      <c r="AB5" s="112"/>
    </row>
    <row r="6" spans="1:29" ht="18" customHeight="1" thickBot="1">
      <c r="A6" s="361" t="s">
        <v>0</v>
      </c>
      <c r="B6" s="361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64">
        <v>1</v>
      </c>
      <c r="B7" s="362" t="str">
        <f>IFERROR(VLOOKUP(A7,пр.взв!$B$7:$H$22,2,0),"")</f>
        <v>БАРЛЕЕВ Иван Евгеньевич</v>
      </c>
      <c r="C7" s="350" t="str">
        <f>IFERROR(VLOOKUP(A7,пр.взв!$B$7:$H$22,3,0),"")</f>
        <v>06.11.1999, КМС</v>
      </c>
      <c r="D7" s="350" t="str">
        <f>IFERROR(VLOOKUP(A7,пр.взв!$B$7:$H$22,5,0),"")</f>
        <v>Ярославская, Рыбинск, МО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50" t="str">
        <f>IFERROR(VLOOKUP(U7,пр.взв!$B$7:$H$22,2,0),"")</f>
        <v>КРИВОНОГОВ Никита Эдуардович</v>
      </c>
      <c r="S7" s="319" t="str">
        <f>IFERROR(VLOOKUP(U7,пр.взв!$B$7:$H$22,3,0),"")</f>
        <v>21.09.2002, КМС</v>
      </c>
      <c r="T7" s="319" t="str">
        <f>IFERROR(VLOOKUP(U7,пр.взв!$B$7:$H$22,5,0),"")</f>
        <v>ХМАО-Югра, Нижневартовск, ВС</v>
      </c>
      <c r="U7" s="379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65"/>
      <c r="B8" s="363"/>
      <c r="C8" s="351"/>
      <c r="D8" s="351"/>
      <c r="E8" s="128"/>
      <c r="F8" s="126"/>
      <c r="G8" s="126"/>
      <c r="H8" s="129"/>
      <c r="I8" s="367" t="str">
        <f>IFERROR(VLOOKUP(H8,пр.взв!$B$7:$I$22,2,0),"")</f>
        <v/>
      </c>
      <c r="J8" s="368"/>
      <c r="K8" s="368"/>
      <c r="L8" s="368"/>
      <c r="M8" s="369"/>
      <c r="N8" s="126"/>
      <c r="O8" s="126"/>
      <c r="P8" s="126"/>
      <c r="Q8" s="128">
        <v>2</v>
      </c>
      <c r="R8" s="351"/>
      <c r="S8" s="320"/>
      <c r="T8" s="320"/>
      <c r="U8" s="380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65">
        <v>9</v>
      </c>
      <c r="B9" s="358" t="str">
        <f>IFERROR(VLOOKUP(A9,пр.взв!$B$7:$H$22,2,0),"")</f>
        <v>НИКИТИН Никита Максимович</v>
      </c>
      <c r="C9" s="358" t="str">
        <f>IFERROR(VLOOKUP(A9,пр.взв!$B$7:$H$22,3,0),"")</f>
        <v>19.07.2001, КМС</v>
      </c>
      <c r="D9" s="320" t="str">
        <f>IFERROR(VLOOKUP(A9,пр.взв!$B$7:$H$22,5,0),"")</f>
        <v>Р.Татарстан, Казань, МС</v>
      </c>
      <c r="E9" s="130"/>
      <c r="F9" s="246"/>
      <c r="G9" s="126"/>
      <c r="H9" s="243"/>
      <c r="I9" s="370"/>
      <c r="J9" s="371"/>
      <c r="K9" s="371"/>
      <c r="L9" s="371"/>
      <c r="M9" s="372"/>
      <c r="N9" s="126"/>
      <c r="O9" s="126"/>
      <c r="P9" s="131"/>
      <c r="Q9" s="130"/>
      <c r="R9" s="358" t="str">
        <f>IFERROR(VLOOKUP(U9,пр.взв!$B$7:$H$22,2,0),"")</f>
        <v/>
      </c>
      <c r="S9" s="358" t="str">
        <f>IFERROR(VLOOKUP(U9,пр.взв!$B$7:$H$22,3,0),"")</f>
        <v/>
      </c>
      <c r="T9" s="358" t="str">
        <f>IFERROR(VLOOKUP(U9,пр.взв!$B$7:$H$22,5,0),"")</f>
        <v/>
      </c>
      <c r="U9" s="380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66"/>
      <c r="B10" s="359"/>
      <c r="C10" s="359"/>
      <c r="D10" s="351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59"/>
      <c r="S10" s="359"/>
      <c r="T10" s="359"/>
      <c r="U10" s="381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64">
        <v>5</v>
      </c>
      <c r="B11" s="362" t="str">
        <f>IFERROR(VLOOKUP(A11,пр.взв!$B$7:$H$22,2,0),"")</f>
        <v>ХАЧАТУРЯН  Артуш  Ованесович</v>
      </c>
      <c r="C11" s="350" t="str">
        <f>IFERROR(VLOOKUP(A11,пр.взв!$B$7:$H$22,3,0),"")</f>
        <v>04.04.2003, МС</v>
      </c>
      <c r="D11" s="350" t="str">
        <f>IFERROR(VLOOKUP(A11,пр.взв!$B$7:$H$22,5,0),"")</f>
        <v>Краснодарский, Армавир, ВС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19" t="str">
        <f>IFERROR(VLOOKUP(U11,пр.взв!$B$7:$H$22,2,0),"")</f>
        <v xml:space="preserve">МЕЛИКЯН  Юрий  Владимирович </v>
      </c>
      <c r="S11" s="319" t="str">
        <f>IFERROR(VLOOKUP(U11,пр.взв!$B$7:$H$22,3,0),"")</f>
        <v>12.06.2001, МС</v>
      </c>
      <c r="T11" s="319" t="str">
        <f>IFERROR(VLOOKUP(U11,пр.взв!$B$7:$H$22,5,0),"")</f>
        <v>Краснодарский, Армавир, Д</v>
      </c>
      <c r="U11" s="375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65"/>
      <c r="B12" s="363"/>
      <c r="C12" s="351"/>
      <c r="D12" s="351"/>
      <c r="E12" s="128">
        <v>5</v>
      </c>
      <c r="F12" s="249"/>
      <c r="G12" s="126"/>
      <c r="H12" s="135"/>
      <c r="I12" s="243"/>
      <c r="J12" s="305" t="s">
        <v>19</v>
      </c>
      <c r="K12" s="305"/>
      <c r="L12" s="305"/>
      <c r="M12" s="126"/>
      <c r="N12" s="133"/>
      <c r="O12" s="126"/>
      <c r="P12" s="241"/>
      <c r="Q12" s="128">
        <v>6</v>
      </c>
      <c r="R12" s="320"/>
      <c r="S12" s="320"/>
      <c r="T12" s="320"/>
      <c r="U12" s="380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65">
        <v>13</v>
      </c>
      <c r="B13" s="358" t="str">
        <f>IFERROR(VLOOKUP(A13,пр.взв!$B$7:$H$22,2,0),"")</f>
        <v/>
      </c>
      <c r="C13" s="358" t="str">
        <f>IFERROR(VLOOKUP(A13,пр.взв!$B$7:$H$22,3,0),"")</f>
        <v/>
      </c>
      <c r="D13" s="320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58" t="str">
        <f>IFERROR(VLOOKUP(U13,пр.взв!$B$7:$H$22,2,0),"")</f>
        <v/>
      </c>
      <c r="S13" s="358" t="str">
        <f>IFERROR(VLOOKUP(U13,пр.взв!$B$7:$H$22,3,0),"")</f>
        <v/>
      </c>
      <c r="T13" s="358" t="str">
        <f>IFERROR(VLOOKUP(U13,пр.взв!$B$7:$H$22,5,0),"")</f>
        <v/>
      </c>
      <c r="U13" s="380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66"/>
      <c r="B14" s="359"/>
      <c r="C14" s="359"/>
      <c r="D14" s="351"/>
      <c r="E14" s="132"/>
      <c r="F14" s="360"/>
      <c r="G14" s="360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59"/>
      <c r="S14" s="359"/>
      <c r="T14" s="359"/>
      <c r="U14" s="376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64">
        <v>3</v>
      </c>
      <c r="B15" s="362" t="str">
        <f>IFERROR(VLOOKUP(A15,пр.взв!$B$7:$H$22,2,0),"")</f>
        <v>СТАРИКОВ Урсул Рустамович</v>
      </c>
      <c r="C15" s="350" t="str">
        <f>IFERROR(VLOOKUP(A15,пр.взв!$B$7:$H$22,3,0),"")</f>
        <v>26.03.2000, МС</v>
      </c>
      <c r="D15" s="350" t="str">
        <f>IFERROR(VLOOKUP(A15,пр.взв!$B$7:$H$22,5,0),"")</f>
        <v>Р.Алтай, Горно-Алтайск, ПР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19" t="str">
        <f>IFERROR(VLOOKUP(U15,пр.взв!$B$7:$H$22,2,0),"")</f>
        <v>ДАНИЛОВ Данил Юрьевич</v>
      </c>
      <c r="S15" s="319" t="str">
        <f>IFERROR(VLOOKUP(U15,пр.взв!$B$7:$H$22,3,0),"")</f>
        <v>12.02.2003, КМС</v>
      </c>
      <c r="T15" s="319" t="str">
        <f>IFERROR(VLOOKUP(U15,пр.взв!$B$7:$H$22,5,0),"")</f>
        <v>Чувашская, Чебоксары, МС</v>
      </c>
      <c r="U15" s="379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65"/>
      <c r="B16" s="363"/>
      <c r="C16" s="351"/>
      <c r="D16" s="351"/>
      <c r="E16" s="128">
        <v>3</v>
      </c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>
        <v>4</v>
      </c>
      <c r="R16" s="320"/>
      <c r="S16" s="320"/>
      <c r="T16" s="320"/>
      <c r="U16" s="380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65">
        <v>11</v>
      </c>
      <c r="B17" s="358" t="str">
        <f>IFERROR(VLOOKUP(A17,пр.взв!$B$7:$H$22,2,0),"")</f>
        <v/>
      </c>
      <c r="C17" s="358" t="str">
        <f>IFERROR(VLOOKUP(A17,пр.взв!$B$7:$H$22,3,0),"")</f>
        <v/>
      </c>
      <c r="D17" s="320" t="str">
        <f>IFERROR(VLOOKUP(A17,пр.взв!$B$7:$H$22,5,0),"")</f>
        <v/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58" t="str">
        <f>IFERROR(VLOOKUP(U17,пр.взв!$B$7:$H$22,2,0),"")</f>
        <v/>
      </c>
      <c r="S17" s="358" t="str">
        <f>IFERROR(VLOOKUP(U17,пр.взв!$B$7:$H$22,3,0),"")</f>
        <v/>
      </c>
      <c r="T17" s="358" t="str">
        <f>IFERROR(VLOOKUP(U17,пр.взв!$B$7:$H$22,5,0),"")</f>
        <v/>
      </c>
      <c r="U17" s="380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66"/>
      <c r="B18" s="359"/>
      <c r="C18" s="359"/>
      <c r="D18" s="351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59"/>
      <c r="S18" s="359"/>
      <c r="T18" s="359"/>
      <c r="U18" s="381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64">
        <v>7</v>
      </c>
      <c r="B19" s="362" t="str">
        <f>IFERROR(VLOOKUP(A19,пр.взв!$B$7:$H$22,2,0),"")</f>
        <v xml:space="preserve">ТРЕТЬЯКОВ  Никита  Дмитриевич </v>
      </c>
      <c r="C19" s="350" t="str">
        <f>IFERROR(VLOOKUP(A19,пр.взв!$B$7:$H$22,3,0),"")</f>
        <v>24.05.2000, МС</v>
      </c>
      <c r="D19" s="350" t="str">
        <f>IFERROR(VLOOKUP(A19,пр.взв!$B$7:$H$22,5,0),"")</f>
        <v>Р.Башкортостан ,Октябрьский, МО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19" t="str">
        <f>IFERROR(VLOOKUP(U19,пр.взв!$B$7:$H$22,2,0),"")</f>
        <v>САФАРЯН Михаил  Арменакович</v>
      </c>
      <c r="S19" s="319" t="str">
        <f>IFERROR(VLOOKUP(U19,пр.взв!$B$7:$H$22,3,0),"")</f>
        <v>13.10.2003, КМС</v>
      </c>
      <c r="T19" s="319" t="str">
        <f>IFERROR(VLOOKUP(U19,пр.взв!$B$7:$H$22,5,0),"")</f>
        <v>Краснодарский, Армавир, ВС</v>
      </c>
      <c r="U19" s="374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65"/>
      <c r="B20" s="363"/>
      <c r="C20" s="351"/>
      <c r="D20" s="351"/>
      <c r="E20" s="128">
        <v>7</v>
      </c>
      <c r="F20" s="140"/>
      <c r="G20" s="132"/>
      <c r="H20" s="129" t="str">
        <f>AA29</f>
        <v/>
      </c>
      <c r="I20" s="321" t="str">
        <f>IFERROR(VLOOKUP(H20,пр.взв!$B$7:$I$22,2,0),"")</f>
        <v/>
      </c>
      <c r="J20" s="322"/>
      <c r="K20" s="322"/>
      <c r="L20" s="322"/>
      <c r="M20" s="323"/>
      <c r="N20" s="126"/>
      <c r="O20" s="126"/>
      <c r="P20" s="141"/>
      <c r="Q20" s="128">
        <v>8</v>
      </c>
      <c r="R20" s="320"/>
      <c r="S20" s="320"/>
      <c r="T20" s="320"/>
      <c r="U20" s="375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65">
        <v>15</v>
      </c>
      <c r="B21" s="358" t="str">
        <f>IFERROR(VLOOKUP(A21,пр.взв!$B$7:$H$22,2,0),"")</f>
        <v/>
      </c>
      <c r="C21" s="358" t="str">
        <f>IFERROR(VLOOKUP(A21,пр.взв!$B$7:$H$22,3,0),"")</f>
        <v/>
      </c>
      <c r="D21" s="320" t="str">
        <f>IFERROR(VLOOKUP(A21,пр.взв!$B$7:$H$22,5,0),"")</f>
        <v/>
      </c>
      <c r="E21" s="130"/>
      <c r="F21" s="132"/>
      <c r="G21" s="132"/>
      <c r="H21" s="244"/>
      <c r="I21" s="324"/>
      <c r="J21" s="325"/>
      <c r="K21" s="325"/>
      <c r="L21" s="325"/>
      <c r="M21" s="326"/>
      <c r="N21" s="126"/>
      <c r="O21" s="126"/>
      <c r="P21" s="126"/>
      <c r="Q21" s="130"/>
      <c r="R21" s="358" t="str">
        <f>IFERROR(VLOOKUP(U21,пр.взв!$B$7:$H$22,2,0),"")</f>
        <v/>
      </c>
      <c r="S21" s="358" t="str">
        <f>IFERROR(VLOOKUP(U21,пр.взв!$B$7:$H$22,3,0),"")</f>
        <v/>
      </c>
      <c r="T21" s="358" t="str">
        <f>IFERROR(VLOOKUP(U21,пр.взв!$B$7:$H$22,5,0),"")</f>
        <v/>
      </c>
      <c r="U21" s="376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66"/>
      <c r="B22" s="359"/>
      <c r="C22" s="359"/>
      <c r="D22" s="373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59"/>
      <c r="S22" s="359"/>
      <c r="T22" s="359"/>
      <c r="U22" s="377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06" t="s">
        <v>24</v>
      </c>
      <c r="I23" s="306"/>
      <c r="J23" s="306"/>
      <c r="K23" s="306"/>
      <c r="L23" s="306"/>
      <c r="M23" s="306"/>
      <c r="N23" s="306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33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13" t="str">
        <f>IFERROR(VLOOKUP(I25,пр.взв!$B$7:$H$22,2,0),"")</f>
        <v/>
      </c>
      <c r="K25" s="314"/>
      <c r="L25" s="315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35"/>
      <c r="C26" s="150"/>
      <c r="D26" s="151"/>
      <c r="E26" s="152"/>
      <c r="F26" s="152"/>
      <c r="G26" s="152"/>
      <c r="H26" s="152"/>
      <c r="I26" s="153"/>
      <c r="J26" s="316"/>
      <c r="K26" s="317"/>
      <c r="L26" s="318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36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07" t="str">
        <f>IFERROR(VLOOKUP(I27,пр.взв!$B$7:$H$22,2,0),"")</f>
        <v/>
      </c>
      <c r="K27" s="308"/>
      <c r="L27" s="309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37"/>
      <c r="C28" s="159"/>
      <c r="D28" s="151"/>
      <c r="E28" s="125"/>
      <c r="F28" s="125"/>
      <c r="G28" s="157"/>
      <c r="H28" s="157"/>
      <c r="I28" s="158"/>
      <c r="J28" s="310"/>
      <c r="K28" s="311"/>
      <c r="L28" s="312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44"/>
      <c r="O29" s="345"/>
      <c r="P29" s="345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10</v>
      </c>
      <c r="AA30" s="117"/>
      <c r="AB30" s="112"/>
    </row>
    <row r="31" spans="1:29" ht="13.5" thickBot="1">
      <c r="A31" s="166" t="str">
        <f>Y31</f>
        <v xml:space="preserve"> </v>
      </c>
      <c r="B31" s="333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13" t="str">
        <f>IFERROR(VLOOKUP(I31,пр.взв!$B$7:$H$22,2,0),"")</f>
        <v/>
      </c>
      <c r="K31" s="314"/>
      <c r="L31" s="315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11</v>
      </c>
      <c r="AA31" s="117"/>
      <c r="AB31" s="112"/>
    </row>
    <row r="32" spans="1:29" ht="13.5" customHeight="1">
      <c r="A32" s="166"/>
      <c r="B32" s="335"/>
      <c r="C32" s="171"/>
      <c r="D32" s="168"/>
      <c r="E32" s="242"/>
      <c r="F32" s="338" t="str">
        <f>IFERROR(VLOOKUP(E32,пр.взв!$B$7:$H$22,2,0),"")</f>
        <v/>
      </c>
      <c r="G32" s="339"/>
      <c r="H32" s="340"/>
      <c r="I32" s="172"/>
      <c r="J32" s="316"/>
      <c r="K32" s="317"/>
      <c r="L32" s="318"/>
      <c r="M32" s="171"/>
      <c r="N32" s="173"/>
      <c r="O32" s="173"/>
      <c r="P32" s="170"/>
      <c r="Q32" s="242"/>
      <c r="R32" s="303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12</v>
      </c>
      <c r="AA32" s="117"/>
      <c r="AB32" s="112"/>
    </row>
    <row r="33" spans="1:28" ht="13.5" customHeight="1" thickBot="1">
      <c r="A33" s="166" t="str">
        <f>Y27</f>
        <v xml:space="preserve"> </v>
      </c>
      <c r="B33" s="336" t="str">
        <f>IFERROR(VLOOKUP(A33,пр.взв!$B$7:$H$22,2,0),"")</f>
        <v/>
      </c>
      <c r="C33" s="164"/>
      <c r="D33" s="168"/>
      <c r="E33" s="174"/>
      <c r="F33" s="341"/>
      <c r="G33" s="342"/>
      <c r="H33" s="343"/>
      <c r="I33" s="175" t="str">
        <f>Y28</f>
        <v xml:space="preserve"> </v>
      </c>
      <c r="J33" s="307" t="str">
        <f>IFERROR(VLOOKUP(I33,пр.взв!$B$7:$H$22,2,0),"")</f>
        <v/>
      </c>
      <c r="K33" s="308"/>
      <c r="L33" s="309"/>
      <c r="M33" s="176"/>
      <c r="N33" s="173"/>
      <c r="O33" s="173"/>
      <c r="P33" s="170"/>
      <c r="Q33" s="164"/>
      <c r="R33" s="304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37"/>
      <c r="C34" s="151"/>
      <c r="D34" s="168"/>
      <c r="E34" s="125"/>
      <c r="F34" s="125"/>
      <c r="G34" s="125"/>
      <c r="H34" s="125"/>
      <c r="I34" s="175"/>
      <c r="J34" s="310"/>
      <c r="K34" s="311"/>
      <c r="L34" s="312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>
      <c r="A35" s="121"/>
      <c r="B35" s="151"/>
      <c r="C35" s="169" t="str">
        <f>Y34</f>
        <v/>
      </c>
      <c r="D35" s="333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13" t="str">
        <f>IFERROR(VLOOKUP(M35,пр.взв!$B$7:$H$22,2,0),"")</f>
        <v/>
      </c>
      <c r="O35" s="328"/>
      <c r="P35" s="329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1"/>
      <c r="C36" s="181"/>
      <c r="D36" s="334"/>
      <c r="E36" s="125"/>
      <c r="F36" s="125"/>
      <c r="G36" s="125"/>
      <c r="H36" s="125"/>
      <c r="I36" s="125"/>
      <c r="J36" s="157"/>
      <c r="K36" s="125"/>
      <c r="L36" s="125"/>
      <c r="M36" s="125"/>
      <c r="N36" s="330"/>
      <c r="O36" s="331"/>
      <c r="P36" s="332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6.5">
      <c r="A38" s="327" t="str">
        <f>[1]реквизиты!$A$6</f>
        <v>Гл. судья, судья ВК</v>
      </c>
      <c r="B38" s="327"/>
      <c r="C38" s="327"/>
      <c r="D38" s="110"/>
      <c r="E38" s="257"/>
      <c r="F38" s="257"/>
      <c r="G38" s="258"/>
      <c r="H38" s="110"/>
      <c r="I38" s="110"/>
      <c r="J38" s="259" t="str">
        <f>[1]реквизиты!$G$6</f>
        <v>С.В.Пегасов</v>
      </c>
      <c r="K38" s="86"/>
      <c r="L38" s="4"/>
      <c r="M38" s="4"/>
      <c r="N38" s="260" t="str">
        <f>[1]реквизиты!$G$7</f>
        <v>/г.Чебоксары/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М.Р. Шарифзянов</v>
      </c>
      <c r="K40" s="86"/>
      <c r="L40" s="212"/>
      <c r="M40" s="212"/>
      <c r="N40" s="378" t="str">
        <f>[1]реквизиты!$G$9</f>
        <v>/Казань/</v>
      </c>
      <c r="O40" s="378"/>
      <c r="P40" s="378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S17:S18"/>
    <mergeCell ref="S15:S16"/>
    <mergeCell ref="F14:G14"/>
    <mergeCell ref="D13:D14"/>
    <mergeCell ref="S13:S14"/>
    <mergeCell ref="R13:R14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R32:R33"/>
    <mergeCell ref="J12:L12"/>
    <mergeCell ref="H23:N23"/>
    <mergeCell ref="J27:L28"/>
    <mergeCell ref="J31:L32"/>
    <mergeCell ref="J33:L34"/>
    <mergeCell ref="R15:R16"/>
    <mergeCell ref="I20:M21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sqref="A1:J10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59" t="s">
        <v>37</v>
      </c>
      <c r="C1" s="459"/>
      <c r="D1" s="459"/>
      <c r="E1" s="459"/>
      <c r="F1" s="459"/>
      <c r="G1" s="459"/>
      <c r="H1" s="459"/>
      <c r="I1" s="459"/>
      <c r="J1" s="459"/>
      <c r="L1" s="459" t="s">
        <v>37</v>
      </c>
      <c r="M1" s="459"/>
      <c r="N1" s="459"/>
      <c r="O1" s="459"/>
      <c r="P1" s="459"/>
      <c r="Q1" s="459"/>
      <c r="R1" s="459"/>
      <c r="S1" s="459"/>
      <c r="T1" s="459"/>
    </row>
    <row r="2" spans="1:20" ht="15.75" customHeight="1">
      <c r="B2" s="460" t="str">
        <f>пр.взв!D4</f>
        <v>В.к. 53 кг.</v>
      </c>
      <c r="C2" s="461"/>
      <c r="D2" s="461"/>
      <c r="E2" s="461"/>
      <c r="F2" s="461"/>
      <c r="G2" s="461"/>
      <c r="H2" s="461"/>
      <c r="I2" s="461"/>
      <c r="J2" s="461"/>
      <c r="L2" s="460" t="str">
        <f>B2</f>
        <v>В.к. 53 кг.</v>
      </c>
      <c r="M2" s="461"/>
      <c r="N2" s="461"/>
      <c r="O2" s="461"/>
      <c r="P2" s="461"/>
      <c r="Q2" s="461"/>
      <c r="R2" s="461"/>
      <c r="S2" s="461"/>
      <c r="T2" s="461"/>
    </row>
    <row r="3" spans="1:20">
      <c r="B3">
        <v>2</v>
      </c>
      <c r="C3" s="5" t="s">
        <v>92</v>
      </c>
      <c r="L3">
        <f>B3</f>
        <v>2</v>
      </c>
      <c r="M3" s="5" t="s">
        <v>92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23" t="s">
        <v>39</v>
      </c>
      <c r="B5" s="457" t="s">
        <v>4</v>
      </c>
      <c r="C5" s="417" t="s">
        <v>5</v>
      </c>
      <c r="D5" s="414" t="s">
        <v>12</v>
      </c>
      <c r="E5" s="445" t="s">
        <v>13</v>
      </c>
      <c r="F5" s="446"/>
      <c r="G5" s="417" t="s">
        <v>14</v>
      </c>
      <c r="H5" s="419" t="s">
        <v>40</v>
      </c>
      <c r="I5" s="421" t="s">
        <v>15</v>
      </c>
      <c r="J5" s="408" t="s">
        <v>16</v>
      </c>
      <c r="K5" s="423" t="s">
        <v>39</v>
      </c>
      <c r="L5" s="457" t="s">
        <v>4</v>
      </c>
      <c r="M5" s="417" t="s">
        <v>5</v>
      </c>
      <c r="N5" s="414" t="s">
        <v>12</v>
      </c>
      <c r="O5" s="445" t="s">
        <v>13</v>
      </c>
      <c r="P5" s="446"/>
      <c r="Q5" s="417" t="s">
        <v>14</v>
      </c>
      <c r="R5" s="419" t="s">
        <v>40</v>
      </c>
      <c r="S5" s="421" t="s">
        <v>15</v>
      </c>
      <c r="T5" s="408" t="s">
        <v>16</v>
      </c>
    </row>
    <row r="6" spans="1:20" ht="13.5" customHeight="1" thickBot="1">
      <c r="A6" s="424"/>
      <c r="B6" s="458" t="s">
        <v>33</v>
      </c>
      <c r="C6" s="418"/>
      <c r="D6" s="416"/>
      <c r="E6" s="447"/>
      <c r="F6" s="448"/>
      <c r="G6" s="418"/>
      <c r="H6" s="420"/>
      <c r="I6" s="422"/>
      <c r="J6" s="409" t="s">
        <v>34</v>
      </c>
      <c r="K6" s="424"/>
      <c r="L6" s="458" t="s">
        <v>33</v>
      </c>
      <c r="M6" s="418"/>
      <c r="N6" s="416"/>
      <c r="O6" s="447"/>
      <c r="P6" s="448"/>
      <c r="Q6" s="418"/>
      <c r="R6" s="420"/>
      <c r="S6" s="422"/>
      <c r="T6" s="409" t="s">
        <v>34</v>
      </c>
    </row>
    <row r="7" spans="1:20" ht="12.75" customHeight="1">
      <c r="A7" s="442">
        <v>1</v>
      </c>
      <c r="B7" s="451">
        <v>1</v>
      </c>
      <c r="C7" s="405" t="str">
        <f>VLOOKUP(B7,пр.взв!B$7:E$22,2,FALSE)</f>
        <v>БАРЛЕЕВ Иван Евгеньевич</v>
      </c>
      <c r="D7" s="406" t="str">
        <f>VLOOKUP(B7,пр.взв!B$7:E$22,3,FALSE)</f>
        <v>06.11.1999, КМС</v>
      </c>
      <c r="E7" s="407" t="str">
        <f>VLOOKUP(B7,пр.взв!B$7:E$22,4,FALSE)</f>
        <v>ЦФО</v>
      </c>
      <c r="F7" s="407" t="str">
        <f>VLOOKUP(B7,пр.взв!B$7:F$22,5,FALSE)</f>
        <v>Ярославская, Рыбинск, МО</v>
      </c>
      <c r="G7" s="384"/>
      <c r="H7" s="386"/>
      <c r="I7" s="387"/>
      <c r="J7" s="389"/>
      <c r="K7" s="442">
        <v>5</v>
      </c>
      <c r="L7" s="451">
        <v>2</v>
      </c>
      <c r="M7" s="454" t="str">
        <f>VLOOKUP(L7,пр.взв!B$7:F$22,2,FALSE)</f>
        <v>КРИВОНОГОВ Никита Эдуардович</v>
      </c>
      <c r="N7" s="407" t="str">
        <f>VLOOKUP(L7,пр.взв!B$7:F$22,3,FALSE)</f>
        <v>21.09.2002, КМС</v>
      </c>
      <c r="O7" s="407" t="str">
        <f>VLOOKUP(L7,пр.взв!B$7:F$22,4,FALSE)</f>
        <v>УФО</v>
      </c>
      <c r="P7" s="407" t="str">
        <f>VLOOKUP(L7,пр.взв!B$7:F$22,5,FALSE)</f>
        <v>ХМАО-Югра, Нижневартовск, ВС</v>
      </c>
      <c r="Q7" s="384"/>
      <c r="R7" s="386"/>
      <c r="S7" s="387"/>
      <c r="T7" s="389"/>
    </row>
    <row r="8" spans="1:20" ht="12.75" customHeight="1">
      <c r="A8" s="443"/>
      <c r="B8" s="441"/>
      <c r="C8" s="456"/>
      <c r="D8" s="407"/>
      <c r="E8" s="385"/>
      <c r="F8" s="385"/>
      <c r="G8" s="385"/>
      <c r="H8" s="385"/>
      <c r="I8" s="388"/>
      <c r="J8" s="293"/>
      <c r="K8" s="443"/>
      <c r="L8" s="441"/>
      <c r="M8" s="455"/>
      <c r="N8" s="385"/>
      <c r="O8" s="385"/>
      <c r="P8" s="385"/>
      <c r="Q8" s="385"/>
      <c r="R8" s="385"/>
      <c r="S8" s="388"/>
      <c r="T8" s="293"/>
    </row>
    <row r="9" spans="1:20" ht="12.75" customHeight="1">
      <c r="A9" s="443"/>
      <c r="B9" s="441">
        <v>9</v>
      </c>
      <c r="C9" s="392" t="str">
        <f>VLOOKUP(B9,пр.взв!B$7:E$22,2,FALSE)</f>
        <v>НИКИТИН Никита Максимович</v>
      </c>
      <c r="D9" s="394" t="str">
        <f>VLOOKUP(B9,пр.взв!B$7:E$22,3,FALSE)</f>
        <v>19.07.2001, КМС</v>
      </c>
      <c r="E9" s="394" t="str">
        <f>VLOOKUP(B9,пр.взв!B$7:E$22,4,FALSE)</f>
        <v>ПФО</v>
      </c>
      <c r="F9" s="394" t="str">
        <f>VLOOKUP(B9,пр.взв!B$7:F$22,5,FALSE)</f>
        <v>Р.Татарстан, Казань, МС</v>
      </c>
      <c r="G9" s="396"/>
      <c r="H9" s="396"/>
      <c r="I9" s="294"/>
      <c r="J9" s="294"/>
      <c r="K9" s="443"/>
      <c r="L9" s="441">
        <v>10</v>
      </c>
      <c r="M9" s="392" t="e">
        <f>VLOOKUP(L9,пр.взв!B$7:F$22,2,FALSE)</f>
        <v>#N/A</v>
      </c>
      <c r="N9" s="394" t="e">
        <f>VLOOKUP(L9,пр.взв!B$7:F$22,3,FALSE)</f>
        <v>#N/A</v>
      </c>
      <c r="O9" s="394" t="e">
        <f>VLOOKUP(L9,пр.взв!B$7:F$22,4,FALSE)</f>
        <v>#N/A</v>
      </c>
      <c r="P9" s="394" t="e">
        <f>VLOOKUP(L9,пр.взв!B$7:F$22,5,FALSE)</f>
        <v>#N/A</v>
      </c>
      <c r="Q9" s="396"/>
      <c r="R9" s="396"/>
      <c r="S9" s="294"/>
      <c r="T9" s="294"/>
    </row>
    <row r="10" spans="1:20" ht="13.5" customHeight="1" thickBot="1">
      <c r="A10" s="444"/>
      <c r="B10" s="438"/>
      <c r="C10" s="393"/>
      <c r="D10" s="395"/>
      <c r="E10" s="395"/>
      <c r="F10" s="395"/>
      <c r="G10" s="397"/>
      <c r="H10" s="397"/>
      <c r="I10" s="398"/>
      <c r="J10" s="398"/>
      <c r="K10" s="444"/>
      <c r="L10" s="438"/>
      <c r="M10" s="393"/>
      <c r="N10" s="395"/>
      <c r="O10" s="395"/>
      <c r="P10" s="395"/>
      <c r="Q10" s="397"/>
      <c r="R10" s="397"/>
      <c r="S10" s="398"/>
      <c r="T10" s="398"/>
    </row>
    <row r="11" spans="1:20" ht="12.75" customHeight="1">
      <c r="A11" s="442">
        <v>2</v>
      </c>
      <c r="B11" s="452">
        <v>5</v>
      </c>
      <c r="C11" s="404" t="str">
        <f>VLOOKUP(B11,пр.взв!B$7:E$22,2,FALSE)</f>
        <v>ХАЧАТУРЯН  Артуш  Ованесович</v>
      </c>
      <c r="D11" s="406" t="str">
        <f>VLOOKUP(B11,пр.взв!B$7:E$22,3,FALSE)</f>
        <v>04.04.2003, МС</v>
      </c>
      <c r="E11" s="406" t="str">
        <f>VLOOKUP(B11,пр.взв!B$7:E$22,4,FALSE)</f>
        <v>ЮФО</v>
      </c>
      <c r="F11" s="406" t="str">
        <f>VLOOKUP(B11,пр.взв!B$7:F$22,5,FALSE)</f>
        <v>Краснодарский, Армавир, ВС</v>
      </c>
      <c r="G11" s="411"/>
      <c r="H11" s="412"/>
      <c r="I11" s="413"/>
      <c r="J11" s="439"/>
      <c r="K11" s="442">
        <v>6</v>
      </c>
      <c r="L11" s="451">
        <v>6</v>
      </c>
      <c r="M11" s="404" t="str">
        <f>VLOOKUP(L11,пр.взв!B$7:F$22,2,FALSE)</f>
        <v xml:space="preserve">МЕЛИКЯН  Юрий  Владимирович </v>
      </c>
      <c r="N11" s="406" t="str">
        <f>VLOOKUP(L11,пр.взв!B$7:F$22,3,FALSE)</f>
        <v>12.06.2001, МС</v>
      </c>
      <c r="O11" s="406" t="str">
        <f>VLOOKUP(L11,пр.взв!B$7:F$22,4,FALSE)</f>
        <v>ЮФО</v>
      </c>
      <c r="P11" s="406" t="str">
        <f>VLOOKUP(L11,пр.взв!B$7:F$22,5,FALSE)</f>
        <v>Краснодарский, Армавир, Д</v>
      </c>
      <c r="Q11" s="411"/>
      <c r="R11" s="412"/>
      <c r="S11" s="413"/>
      <c r="T11" s="439"/>
    </row>
    <row r="12" spans="1:20" ht="12.75" customHeight="1">
      <c r="A12" s="443"/>
      <c r="B12" s="441"/>
      <c r="C12" s="405"/>
      <c r="D12" s="407"/>
      <c r="E12" s="407"/>
      <c r="F12" s="407"/>
      <c r="G12" s="385"/>
      <c r="H12" s="385"/>
      <c r="I12" s="388"/>
      <c r="J12" s="293"/>
      <c r="K12" s="443"/>
      <c r="L12" s="441"/>
      <c r="M12" s="405"/>
      <c r="N12" s="407"/>
      <c r="O12" s="407"/>
      <c r="P12" s="407"/>
      <c r="Q12" s="385"/>
      <c r="R12" s="385"/>
      <c r="S12" s="388"/>
      <c r="T12" s="293"/>
    </row>
    <row r="13" spans="1:20" ht="12.75" customHeight="1">
      <c r="A13" s="443"/>
      <c r="B13" s="441">
        <v>13</v>
      </c>
      <c r="C13" s="392" t="e">
        <f>VLOOKUP(B13,пр.взв!B$7:E$22,2,FALSE)</f>
        <v>#N/A</v>
      </c>
      <c r="D13" s="394" t="e">
        <f>VLOOKUP(B13,пр.взв!B$7:E$22,3,FALSE)</f>
        <v>#N/A</v>
      </c>
      <c r="E13" s="394" t="e">
        <f>VLOOKUP(B13,пр.взв!B$7:E$22,4,FALSE)</f>
        <v>#N/A</v>
      </c>
      <c r="F13" s="394" t="e">
        <f>VLOOKUP(B13,пр.взв!B$7:F$22,5,FALSE)</f>
        <v>#N/A</v>
      </c>
      <c r="G13" s="396"/>
      <c r="H13" s="396"/>
      <c r="I13" s="294"/>
      <c r="J13" s="294"/>
      <c r="K13" s="443"/>
      <c r="L13" s="441">
        <v>14</v>
      </c>
      <c r="M13" s="392" t="e">
        <f>VLOOKUP(L13,пр.взв!B$7:F$22,2,FALSE)</f>
        <v>#N/A</v>
      </c>
      <c r="N13" s="394" t="e">
        <f>VLOOKUP(L13,пр.взв!B$7:F$22,3,FALSE)</f>
        <v>#N/A</v>
      </c>
      <c r="O13" s="394" t="e">
        <f>VLOOKUP(L13,пр.взв!B$7:F$22,4,FALSE)</f>
        <v>#N/A</v>
      </c>
      <c r="P13" s="394" t="e">
        <f>VLOOKUP(L13,пр.взв!B$7:F$22,5,FALSE)</f>
        <v>#N/A</v>
      </c>
      <c r="Q13" s="396"/>
      <c r="R13" s="396"/>
      <c r="S13" s="294"/>
      <c r="T13" s="294"/>
    </row>
    <row r="14" spans="1:20" ht="13.5" customHeight="1" thickBot="1">
      <c r="A14" s="444"/>
      <c r="B14" s="438"/>
      <c r="C14" s="393"/>
      <c r="D14" s="395"/>
      <c r="E14" s="395"/>
      <c r="F14" s="395"/>
      <c r="G14" s="397"/>
      <c r="H14" s="397"/>
      <c r="I14" s="398"/>
      <c r="J14" s="398"/>
      <c r="K14" s="444"/>
      <c r="L14" s="453"/>
      <c r="M14" s="393"/>
      <c r="N14" s="395"/>
      <c r="O14" s="395"/>
      <c r="P14" s="395"/>
      <c r="Q14" s="397"/>
      <c r="R14" s="397"/>
      <c r="S14" s="398"/>
      <c r="T14" s="398"/>
    </row>
    <row r="15" spans="1:20" ht="12.75" customHeight="1">
      <c r="A15" s="442">
        <v>3</v>
      </c>
      <c r="B15" s="452">
        <v>3</v>
      </c>
      <c r="C15" s="404" t="str">
        <f>VLOOKUP(B15,пр.взв!B$7:E$22,2,FALSE)</f>
        <v>СТАРИКОВ Урсул Рустамович</v>
      </c>
      <c r="D15" s="406" t="str">
        <f>VLOOKUP(B15,пр.взв!B$7:E$22,3,FALSE)</f>
        <v>26.03.2000, МС</v>
      </c>
      <c r="E15" s="406" t="str">
        <f>VLOOKUP(B15,пр.взв!B$7:E$22,4,FALSE)</f>
        <v>СФО</v>
      </c>
      <c r="F15" s="406" t="str">
        <f>VLOOKUP(B15,пр.взв!B$7:F$22,5,FALSE)</f>
        <v>Р.Алтай, Горно-Алтайск, ПР</v>
      </c>
      <c r="G15" s="384"/>
      <c r="H15" s="386"/>
      <c r="I15" s="387"/>
      <c r="J15" s="389"/>
      <c r="K15" s="442">
        <v>7</v>
      </c>
      <c r="L15" s="452">
        <v>4</v>
      </c>
      <c r="M15" s="404" t="str">
        <f>VLOOKUP(L15,пр.взв!B$7:F$22,2,FALSE)</f>
        <v>ДАНИЛОВ Данил Юрьевич</v>
      </c>
      <c r="N15" s="406" t="str">
        <f>VLOOKUP(L15,пр.взв!B$7:F$22,3,FALSE)</f>
        <v>12.02.2003, КМС</v>
      </c>
      <c r="O15" s="406" t="str">
        <f>VLOOKUP(L15,пр.взв!B$7:F$22,4,FALSE)</f>
        <v>ПФО</v>
      </c>
      <c r="P15" s="406" t="str">
        <f>VLOOKUP(L15,пр.взв!B$7:F$22,5,FALSE)</f>
        <v>Чувашская, Чебоксары, МС</v>
      </c>
      <c r="Q15" s="384"/>
      <c r="R15" s="386"/>
      <c r="S15" s="387"/>
      <c r="T15" s="389"/>
    </row>
    <row r="16" spans="1:20" ht="12.75" customHeight="1">
      <c r="A16" s="443"/>
      <c r="B16" s="441"/>
      <c r="C16" s="405"/>
      <c r="D16" s="407"/>
      <c r="E16" s="407"/>
      <c r="F16" s="407"/>
      <c r="G16" s="385"/>
      <c r="H16" s="385"/>
      <c r="I16" s="388"/>
      <c r="J16" s="293"/>
      <c r="K16" s="443"/>
      <c r="L16" s="441"/>
      <c r="M16" s="405"/>
      <c r="N16" s="407"/>
      <c r="O16" s="407"/>
      <c r="P16" s="407"/>
      <c r="Q16" s="385"/>
      <c r="R16" s="385"/>
      <c r="S16" s="388"/>
      <c r="T16" s="293"/>
    </row>
    <row r="17" spans="1:20" ht="12.75" customHeight="1">
      <c r="A17" s="443"/>
      <c r="B17" s="441">
        <v>11</v>
      </c>
      <c r="C17" s="392" t="e">
        <f>VLOOKUP(B17,пр.взв!B$7:E$22,2,FALSE)</f>
        <v>#N/A</v>
      </c>
      <c r="D17" s="394" t="e">
        <f>VLOOKUP(B17,пр.взв!B$7:E$22,3,FALSE)</f>
        <v>#N/A</v>
      </c>
      <c r="E17" s="394" t="e">
        <f>VLOOKUP(B17,пр.взв!B$7:E$22,4,FALSE)</f>
        <v>#N/A</v>
      </c>
      <c r="F17" s="394" t="e">
        <f>VLOOKUP(B17,пр.взв!B$7:F$22,5,FALSE)</f>
        <v>#N/A</v>
      </c>
      <c r="G17" s="396"/>
      <c r="H17" s="396"/>
      <c r="I17" s="294"/>
      <c r="J17" s="294"/>
      <c r="K17" s="443"/>
      <c r="L17" s="441">
        <v>12</v>
      </c>
      <c r="M17" s="392" t="e">
        <f>VLOOKUP(L17,пр.взв!B$7:F$22,2,FALSE)</f>
        <v>#N/A</v>
      </c>
      <c r="N17" s="394" t="e">
        <f>VLOOKUP(L17,пр.взв!B$7:F$22,3,FALSE)</f>
        <v>#N/A</v>
      </c>
      <c r="O17" s="394" t="e">
        <f>VLOOKUP(L17,пр.взв!B$7:F$22,4,FALSE)</f>
        <v>#N/A</v>
      </c>
      <c r="P17" s="394" t="e">
        <f>VLOOKUP(L17,пр.взв!B$7:F$22,5,FALSE)</f>
        <v>#N/A</v>
      </c>
      <c r="Q17" s="396"/>
      <c r="R17" s="396"/>
      <c r="S17" s="294"/>
      <c r="T17" s="294"/>
    </row>
    <row r="18" spans="1:20" ht="13.5" customHeight="1" thickBot="1">
      <c r="A18" s="444"/>
      <c r="B18" s="438"/>
      <c r="C18" s="393"/>
      <c r="D18" s="395"/>
      <c r="E18" s="395"/>
      <c r="F18" s="395"/>
      <c r="G18" s="397"/>
      <c r="H18" s="397"/>
      <c r="I18" s="398"/>
      <c r="J18" s="398"/>
      <c r="K18" s="444"/>
      <c r="L18" s="438"/>
      <c r="M18" s="393"/>
      <c r="N18" s="395"/>
      <c r="O18" s="395"/>
      <c r="P18" s="395"/>
      <c r="Q18" s="397"/>
      <c r="R18" s="397"/>
      <c r="S18" s="398"/>
      <c r="T18" s="398"/>
    </row>
    <row r="19" spans="1:20" ht="12.75" customHeight="1">
      <c r="A19" s="442">
        <v>4</v>
      </c>
      <c r="B19" s="452">
        <v>7</v>
      </c>
      <c r="C19" s="404" t="str">
        <f>VLOOKUP(B19,пр.взв!B$7:E$22,2,FALSE)</f>
        <v xml:space="preserve">ТРЕТЬЯКОВ  Никита  Дмитриевич </v>
      </c>
      <c r="D19" s="406" t="str">
        <f>VLOOKUP(B19,пр.взв!B$7:E$22,3,FALSE)</f>
        <v>24.05.2000, МС</v>
      </c>
      <c r="E19" s="406" t="str">
        <f>VLOOKUP(B19,пр.взв!B$7:E$22,4,FALSE)</f>
        <v>ПФО</v>
      </c>
      <c r="F19" s="406" t="str">
        <f>VLOOKUP(B19,пр.взв!B$7:F$22,5,FALSE)</f>
        <v>Р.Башкортостан ,Октябрьский, МО</v>
      </c>
      <c r="G19" s="385"/>
      <c r="H19" s="449"/>
      <c r="I19" s="388"/>
      <c r="J19" s="450"/>
      <c r="K19" s="442">
        <v>8</v>
      </c>
      <c r="L19" s="451">
        <v>8</v>
      </c>
      <c r="M19" s="404" t="str">
        <f>VLOOKUP(L19,пр.взв!B$7:F$22,2,FALSE)</f>
        <v>САФАРЯН Михаил  Арменакович</v>
      </c>
      <c r="N19" s="406" t="str">
        <f>VLOOKUP(L19,пр.взв!B$7:F$22,3,FALSE)</f>
        <v>13.10.2003, КМС</v>
      </c>
      <c r="O19" s="406" t="str">
        <f>VLOOKUP(L19,пр.взв!B$7:F$22,4,FALSE)</f>
        <v>ЮФО</v>
      </c>
      <c r="P19" s="406" t="str">
        <f>VLOOKUP(L19,пр.взв!B$7:F$22,5,FALSE)</f>
        <v>Краснодарский, Армавир, ВС</v>
      </c>
      <c r="Q19" s="385"/>
      <c r="R19" s="449"/>
      <c r="S19" s="388"/>
      <c r="T19" s="450"/>
    </row>
    <row r="20" spans="1:20" ht="12.75" customHeight="1">
      <c r="A20" s="443"/>
      <c r="B20" s="441"/>
      <c r="C20" s="405"/>
      <c r="D20" s="407"/>
      <c r="E20" s="407"/>
      <c r="F20" s="407"/>
      <c r="G20" s="385"/>
      <c r="H20" s="385"/>
      <c r="I20" s="388"/>
      <c r="J20" s="293"/>
      <c r="K20" s="443"/>
      <c r="L20" s="441"/>
      <c r="M20" s="405"/>
      <c r="N20" s="407"/>
      <c r="O20" s="407"/>
      <c r="P20" s="407"/>
      <c r="Q20" s="385"/>
      <c r="R20" s="385"/>
      <c r="S20" s="388"/>
      <c r="T20" s="293"/>
    </row>
    <row r="21" spans="1:20" ht="12.75" customHeight="1">
      <c r="A21" s="443"/>
      <c r="B21" s="441">
        <v>15</v>
      </c>
      <c r="C21" s="392" t="e">
        <f>VLOOKUP(B21,пр.взв!B$7:E$22,2,FALSE)</f>
        <v>#N/A</v>
      </c>
      <c r="D21" s="394" t="e">
        <f>VLOOKUP(B21,пр.взв!B$7:E$22,3,FALSE)</f>
        <v>#N/A</v>
      </c>
      <c r="E21" s="394" t="e">
        <f>VLOOKUP(B21,пр.взв!B$7:E$22,4,FALSE)</f>
        <v>#N/A</v>
      </c>
      <c r="F21" s="394" t="e">
        <f>VLOOKUP(B21,пр.взв!B$7:F$22,5,FALSE)</f>
        <v>#N/A</v>
      </c>
      <c r="G21" s="396"/>
      <c r="H21" s="396"/>
      <c r="I21" s="294"/>
      <c r="J21" s="294"/>
      <c r="K21" s="443"/>
      <c r="L21" s="441">
        <v>16</v>
      </c>
      <c r="M21" s="392" t="e">
        <f>VLOOKUP(L21,пр.взв!B$7:F$22,2,FALSE)</f>
        <v>#N/A</v>
      </c>
      <c r="N21" s="394" t="e">
        <f>VLOOKUP(L21,пр.взв!B$7:F$22,3,FALSE)</f>
        <v>#N/A</v>
      </c>
      <c r="O21" s="394" t="e">
        <f>VLOOKUP(L21,пр.взв!B$7:F$22,4,FALSE)</f>
        <v>#N/A</v>
      </c>
      <c r="P21" s="394" t="e">
        <f>VLOOKUP(L21,пр.взв!B$7:F$22,5,FALSE)</f>
        <v>#N/A</v>
      </c>
      <c r="Q21" s="396"/>
      <c r="R21" s="396"/>
      <c r="S21" s="294"/>
      <c r="T21" s="294"/>
    </row>
    <row r="22" spans="1:20" ht="12.75" customHeight="1" thickBot="1">
      <c r="A22" s="444"/>
      <c r="B22" s="438"/>
      <c r="C22" s="393"/>
      <c r="D22" s="395"/>
      <c r="E22" s="395"/>
      <c r="F22" s="395"/>
      <c r="G22" s="397"/>
      <c r="H22" s="397"/>
      <c r="I22" s="398"/>
      <c r="J22" s="398"/>
      <c r="K22" s="444"/>
      <c r="L22" s="438"/>
      <c r="M22" s="393"/>
      <c r="N22" s="395"/>
      <c r="O22" s="395"/>
      <c r="P22" s="395"/>
      <c r="Q22" s="397"/>
      <c r="R22" s="397"/>
      <c r="S22" s="398"/>
      <c r="T22" s="398"/>
    </row>
    <row r="23" spans="1:20">
      <c r="B23">
        <f>B3</f>
        <v>2</v>
      </c>
      <c r="C23" s="5" t="s">
        <v>92</v>
      </c>
      <c r="L23">
        <f>L3</f>
        <v>2</v>
      </c>
      <c r="M23" s="5" t="s">
        <v>92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53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53 кг.</v>
      </c>
      <c r="R24" s="77"/>
      <c r="S24" s="77"/>
      <c r="T24" s="77"/>
    </row>
    <row r="25" spans="1:20" ht="12.75" customHeight="1">
      <c r="A25" s="423" t="s">
        <v>39</v>
      </c>
      <c r="B25" s="425" t="s">
        <v>4</v>
      </c>
      <c r="C25" s="417" t="s">
        <v>5</v>
      </c>
      <c r="D25" s="414" t="s">
        <v>12</v>
      </c>
      <c r="E25" s="445" t="s">
        <v>13</v>
      </c>
      <c r="F25" s="446"/>
      <c r="G25" s="417" t="s">
        <v>14</v>
      </c>
      <c r="H25" s="419" t="s">
        <v>40</v>
      </c>
      <c r="I25" s="421" t="s">
        <v>15</v>
      </c>
      <c r="J25" s="408" t="s">
        <v>16</v>
      </c>
      <c r="K25" s="423" t="s">
        <v>39</v>
      </c>
      <c r="L25" s="425" t="s">
        <v>4</v>
      </c>
      <c r="M25" s="417" t="s">
        <v>5</v>
      </c>
      <c r="N25" s="414" t="s">
        <v>12</v>
      </c>
      <c r="O25" s="433" t="s">
        <v>13</v>
      </c>
      <c r="P25" s="434"/>
      <c r="Q25" s="417" t="s">
        <v>14</v>
      </c>
      <c r="R25" s="419" t="s">
        <v>40</v>
      </c>
      <c r="S25" s="421" t="s">
        <v>15</v>
      </c>
      <c r="T25" s="408" t="s">
        <v>16</v>
      </c>
    </row>
    <row r="26" spans="1:20" ht="13.5" customHeight="1" thickBot="1">
      <c r="A26" s="424"/>
      <c r="B26" s="426" t="s">
        <v>33</v>
      </c>
      <c r="C26" s="418"/>
      <c r="D26" s="416"/>
      <c r="E26" s="447"/>
      <c r="F26" s="448"/>
      <c r="G26" s="418"/>
      <c r="H26" s="420"/>
      <c r="I26" s="422"/>
      <c r="J26" s="409" t="s">
        <v>34</v>
      </c>
      <c r="K26" s="424"/>
      <c r="L26" s="426" t="s">
        <v>33</v>
      </c>
      <c r="M26" s="418"/>
      <c r="N26" s="416"/>
      <c r="O26" s="435"/>
      <c r="P26" s="436"/>
      <c r="Q26" s="418"/>
      <c r="R26" s="420"/>
      <c r="S26" s="422"/>
      <c r="T26" s="409" t="s">
        <v>34</v>
      </c>
    </row>
    <row r="27" spans="1:20" ht="12.75" customHeight="1">
      <c r="A27" s="442">
        <v>1</v>
      </c>
      <c r="B27" s="440">
        <f>пр.хода!E8</f>
        <v>0</v>
      </c>
      <c r="C27" s="404" t="e">
        <f>VLOOKUP(B27,пр.взв!B$7:E$22,2,FALSE)</f>
        <v>#N/A</v>
      </c>
      <c r="D27" s="406" t="e">
        <f>VLOOKUP(B27,пр.взв!B$7:E$22,3,FALSE)</f>
        <v>#N/A</v>
      </c>
      <c r="E27" s="406" t="e">
        <f>VLOOKUP(B27,пр.взв!B$7:E$22,4,FALSE)</f>
        <v>#N/A</v>
      </c>
      <c r="F27" s="406" t="e">
        <f>VLOOKUP(B27,пр.взв!B$7:F$22,5,FALSE)</f>
        <v>#N/A</v>
      </c>
      <c r="G27" s="411"/>
      <c r="H27" s="412"/>
      <c r="I27" s="413"/>
      <c r="J27" s="414"/>
      <c r="K27" s="399">
        <v>3</v>
      </c>
      <c r="L27" s="440">
        <f>пр.хода!Q8</f>
        <v>2</v>
      </c>
      <c r="M27" s="404" t="str">
        <f>VLOOKUP(L27,пр.взв!B$7:F$22,2,FALSE)</f>
        <v>КРИВОНОГОВ Никита Эдуардович</v>
      </c>
      <c r="N27" s="406" t="str">
        <f>VLOOKUP(L27,пр.взв!B$7:F$22,3,FALSE)</f>
        <v>21.09.2002, КМС</v>
      </c>
      <c r="O27" s="406" t="str">
        <f>VLOOKUP(L27,пр.взв!B$7:F$22,4,FALSE)</f>
        <v>УФО</v>
      </c>
      <c r="P27" s="406" t="str">
        <f>VLOOKUP(L27,пр.взв!B$7:F$22,5,FALSE)</f>
        <v>ХМАО-Югра, Нижневартовск, ВС</v>
      </c>
      <c r="Q27" s="411"/>
      <c r="R27" s="412"/>
      <c r="S27" s="413"/>
      <c r="T27" s="414"/>
    </row>
    <row r="28" spans="1:20">
      <c r="A28" s="443"/>
      <c r="B28" s="441"/>
      <c r="C28" s="405"/>
      <c r="D28" s="407"/>
      <c r="E28" s="407"/>
      <c r="F28" s="407"/>
      <c r="G28" s="385"/>
      <c r="H28" s="385"/>
      <c r="I28" s="388"/>
      <c r="J28" s="293"/>
      <c r="K28" s="400"/>
      <c r="L28" s="441"/>
      <c r="M28" s="405"/>
      <c r="N28" s="407"/>
      <c r="O28" s="407"/>
      <c r="P28" s="407"/>
      <c r="Q28" s="385"/>
      <c r="R28" s="385"/>
      <c r="S28" s="388"/>
      <c r="T28" s="293"/>
    </row>
    <row r="29" spans="1:20" ht="12.75" customHeight="1">
      <c r="A29" s="443"/>
      <c r="B29" s="437">
        <f>пр.хода!E12</f>
        <v>5</v>
      </c>
      <c r="C29" s="392" t="str">
        <f>VLOOKUP(B29,пр.взв!B$7:E$22,2,FALSE)</f>
        <v>ХАЧАТУРЯН  Артуш  Ованесович</v>
      </c>
      <c r="D29" s="394" t="str">
        <f>VLOOKUP(B29,пр.взв!B$7:E$22,3,FALSE)</f>
        <v>04.04.2003, МС</v>
      </c>
      <c r="E29" s="394" t="str">
        <f>VLOOKUP(B29,пр.взв!B$7:E$22,4,FALSE)</f>
        <v>ЮФО</v>
      </c>
      <c r="F29" s="394" t="str">
        <f>VLOOKUP(B29,пр.взв!B$7:F$22,5,FALSE)</f>
        <v>Краснодарский, Армавир, ВС</v>
      </c>
      <c r="G29" s="396"/>
      <c r="H29" s="396"/>
      <c r="I29" s="294"/>
      <c r="J29" s="294"/>
      <c r="K29" s="400"/>
      <c r="L29" s="437">
        <f>пр.хода!Q12</f>
        <v>6</v>
      </c>
      <c r="M29" s="392" t="str">
        <f>VLOOKUP(L29,пр.взв!B$7:F$22,2,FALSE)</f>
        <v xml:space="preserve">МЕЛИКЯН  Юрий  Владимирович </v>
      </c>
      <c r="N29" s="394" t="str">
        <f>VLOOKUP(L29,пр.взв!B$7:F$22,3,FALSE)</f>
        <v>12.06.2001, МС</v>
      </c>
      <c r="O29" s="394" t="str">
        <f>VLOOKUP(L29,пр.взв!B$7:F$22,4,FALSE)</f>
        <v>ЮФО</v>
      </c>
      <c r="P29" s="394" t="str">
        <f>VLOOKUP(L29,пр.взв!B$7:F$22,5,FALSE)</f>
        <v>Краснодарский, Армавир, Д</v>
      </c>
      <c r="Q29" s="396"/>
      <c r="R29" s="396"/>
      <c r="S29" s="294"/>
      <c r="T29" s="294"/>
    </row>
    <row r="30" spans="1:20" ht="13.5" thickBot="1">
      <c r="A30" s="444"/>
      <c r="B30" s="438"/>
      <c r="C30" s="393"/>
      <c r="D30" s="395"/>
      <c r="E30" s="395"/>
      <c r="F30" s="395"/>
      <c r="G30" s="397"/>
      <c r="H30" s="397"/>
      <c r="I30" s="398"/>
      <c r="J30" s="398"/>
      <c r="K30" s="401"/>
      <c r="L30" s="438"/>
      <c r="M30" s="393"/>
      <c r="N30" s="395"/>
      <c r="O30" s="395"/>
      <c r="P30" s="395"/>
      <c r="Q30" s="397"/>
      <c r="R30" s="397"/>
      <c r="S30" s="398"/>
      <c r="T30" s="398"/>
    </row>
    <row r="31" spans="1:20" ht="12.75" customHeight="1">
      <c r="A31" s="442">
        <v>2</v>
      </c>
      <c r="B31" s="440">
        <f>пр.хода!E16</f>
        <v>3</v>
      </c>
      <c r="C31" s="404" t="str">
        <f>VLOOKUP(B31,пр.взв!B$7:E$22,2,FALSE)</f>
        <v>СТАРИКОВ Урсул Рустамович</v>
      </c>
      <c r="D31" s="406" t="str">
        <f>VLOOKUP(B31,пр.взв!B$7:E$22,3,FALSE)</f>
        <v>26.03.2000, МС</v>
      </c>
      <c r="E31" s="406" t="str">
        <f>VLOOKUP(B31,пр.взв!B$7:E$22,4,FALSE)</f>
        <v>СФО</v>
      </c>
      <c r="F31" s="406" t="str">
        <f>VLOOKUP(B31,пр.взв!B$7:F$22,5,FALSE)</f>
        <v>Р.Алтай, Горно-Алтайск, ПР</v>
      </c>
      <c r="G31" s="411"/>
      <c r="H31" s="412"/>
      <c r="I31" s="413"/>
      <c r="J31" s="439"/>
      <c r="K31" s="399">
        <v>4</v>
      </c>
      <c r="L31" s="440">
        <f>пр.хода!Q16</f>
        <v>4</v>
      </c>
      <c r="M31" s="404" t="str">
        <f>VLOOKUP(L31,пр.взв!B$7:F$22,2,FALSE)</f>
        <v>ДАНИЛОВ Данил Юрьевич</v>
      </c>
      <c r="N31" s="406" t="str">
        <f>VLOOKUP(L31,пр.взв!B$7:F$22,3,FALSE)</f>
        <v>12.02.2003, КМС</v>
      </c>
      <c r="O31" s="406" t="str">
        <f>VLOOKUP(L31,пр.взв!B$7:F$22,4,FALSE)</f>
        <v>ПФО</v>
      </c>
      <c r="P31" s="406" t="str">
        <f>VLOOKUP(L31,пр.взв!B$7:F$22,5,FALSE)</f>
        <v>Чувашская, Чебоксары, МС</v>
      </c>
      <c r="Q31" s="411"/>
      <c r="R31" s="412"/>
      <c r="S31" s="413"/>
      <c r="T31" s="439"/>
    </row>
    <row r="32" spans="1:20">
      <c r="A32" s="443"/>
      <c r="B32" s="441"/>
      <c r="C32" s="405"/>
      <c r="D32" s="407"/>
      <c r="E32" s="407"/>
      <c r="F32" s="407"/>
      <c r="G32" s="385"/>
      <c r="H32" s="385"/>
      <c r="I32" s="388"/>
      <c r="J32" s="293"/>
      <c r="K32" s="400"/>
      <c r="L32" s="441"/>
      <c r="M32" s="405"/>
      <c r="N32" s="407"/>
      <c r="O32" s="407"/>
      <c r="P32" s="407"/>
      <c r="Q32" s="385"/>
      <c r="R32" s="385"/>
      <c r="S32" s="388"/>
      <c r="T32" s="293"/>
    </row>
    <row r="33" spans="1:20" ht="12.75" customHeight="1">
      <c r="A33" s="443"/>
      <c r="B33" s="437">
        <f>пр.хода!E20</f>
        <v>7</v>
      </c>
      <c r="C33" s="392" t="str">
        <f>VLOOKUP(B33,пр.взв!B$7:E$22,2,FALSE)</f>
        <v xml:space="preserve">ТРЕТЬЯКОВ  Никита  Дмитриевич </v>
      </c>
      <c r="D33" s="394" t="str">
        <f>VLOOKUP(B33,пр.взв!B$7:E$22,3,FALSE)</f>
        <v>24.05.2000, МС</v>
      </c>
      <c r="E33" s="394" t="str">
        <f>VLOOKUP(B33,пр.взв!B$7:E$22,4,FALSE)</f>
        <v>ПФО</v>
      </c>
      <c r="F33" s="394" t="str">
        <f>VLOOKUP(B33,пр.взв!B$7:F$22,5,FALSE)</f>
        <v>Р.Башкортостан ,Октябрьский, МО</v>
      </c>
      <c r="G33" s="396"/>
      <c r="H33" s="396"/>
      <c r="I33" s="294"/>
      <c r="J33" s="294"/>
      <c r="K33" s="400"/>
      <c r="L33" s="437">
        <f>пр.хода!Q20</f>
        <v>8</v>
      </c>
      <c r="M33" s="392" t="str">
        <f>VLOOKUP(L33,пр.взв!B$7:F$22,2,FALSE)</f>
        <v>САФАРЯН Михаил  Арменакович</v>
      </c>
      <c r="N33" s="394" t="str">
        <f>VLOOKUP(L33,пр.взв!B$7:F$22,3,FALSE)</f>
        <v>13.10.2003, КМС</v>
      </c>
      <c r="O33" s="394" t="str">
        <f>VLOOKUP(L33,пр.взв!B$7:F$22,4,FALSE)</f>
        <v>ЮФО</v>
      </c>
      <c r="P33" s="394" t="str">
        <f>VLOOKUP(L33,пр.взв!B$7:F$22,5,FALSE)</f>
        <v>Краснодарский, Армавир, ВС</v>
      </c>
      <c r="Q33" s="396"/>
      <c r="R33" s="396"/>
      <c r="S33" s="294"/>
      <c r="T33" s="294"/>
    </row>
    <row r="34" spans="1:20" ht="13.5" thickBot="1">
      <c r="A34" s="444"/>
      <c r="B34" s="438"/>
      <c r="C34" s="393"/>
      <c r="D34" s="395"/>
      <c r="E34" s="395"/>
      <c r="F34" s="395"/>
      <c r="G34" s="397"/>
      <c r="H34" s="397"/>
      <c r="I34" s="398"/>
      <c r="J34" s="398"/>
      <c r="K34" s="401"/>
      <c r="L34" s="438"/>
      <c r="M34" s="393"/>
      <c r="N34" s="395"/>
      <c r="O34" s="395"/>
      <c r="P34" s="395"/>
      <c r="Q34" s="397"/>
      <c r="R34" s="397"/>
      <c r="S34" s="398"/>
      <c r="T34" s="398"/>
    </row>
    <row r="35" spans="1:20">
      <c r="B35">
        <f>B23</f>
        <v>2</v>
      </c>
      <c r="C35" s="5" t="s">
        <v>92</v>
      </c>
      <c r="L35">
        <f>L23</f>
        <v>2</v>
      </c>
      <c r="M35" s="5" t="s">
        <v>92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53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53 кг.</v>
      </c>
      <c r="R36" s="79"/>
      <c r="S36" s="79"/>
      <c r="T36" s="79"/>
    </row>
    <row r="37" spans="1:20" ht="12.75" customHeight="1">
      <c r="A37" s="423" t="s">
        <v>39</v>
      </c>
      <c r="B37" s="425" t="s">
        <v>4</v>
      </c>
      <c r="C37" s="417" t="s">
        <v>5</v>
      </c>
      <c r="D37" s="414" t="s">
        <v>12</v>
      </c>
      <c r="E37" s="445" t="s">
        <v>13</v>
      </c>
      <c r="F37" s="446"/>
      <c r="G37" s="417" t="s">
        <v>14</v>
      </c>
      <c r="H37" s="419" t="s">
        <v>40</v>
      </c>
      <c r="I37" s="421" t="s">
        <v>15</v>
      </c>
      <c r="J37" s="408" t="s">
        <v>16</v>
      </c>
      <c r="K37" s="423" t="s">
        <v>39</v>
      </c>
      <c r="L37" s="425" t="s">
        <v>4</v>
      </c>
      <c r="M37" s="417" t="s">
        <v>5</v>
      </c>
      <c r="N37" s="414" t="s">
        <v>12</v>
      </c>
      <c r="O37" s="433" t="s">
        <v>13</v>
      </c>
      <c r="P37" s="434"/>
      <c r="Q37" s="417" t="s">
        <v>14</v>
      </c>
      <c r="R37" s="419" t="s">
        <v>40</v>
      </c>
      <c r="S37" s="421" t="s">
        <v>15</v>
      </c>
      <c r="T37" s="408" t="s">
        <v>16</v>
      </c>
    </row>
    <row r="38" spans="1:20" ht="13.5" customHeight="1" thickBot="1">
      <c r="A38" s="424"/>
      <c r="B38" s="426" t="s">
        <v>33</v>
      </c>
      <c r="C38" s="418"/>
      <c r="D38" s="416"/>
      <c r="E38" s="447"/>
      <c r="F38" s="448"/>
      <c r="G38" s="418"/>
      <c r="H38" s="420"/>
      <c r="I38" s="422"/>
      <c r="J38" s="409" t="s">
        <v>34</v>
      </c>
      <c r="K38" s="424"/>
      <c r="L38" s="426" t="s">
        <v>33</v>
      </c>
      <c r="M38" s="418"/>
      <c r="N38" s="416"/>
      <c r="O38" s="435"/>
      <c r="P38" s="436"/>
      <c r="Q38" s="418"/>
      <c r="R38" s="420"/>
      <c r="S38" s="422"/>
      <c r="T38" s="409" t="s">
        <v>34</v>
      </c>
    </row>
    <row r="39" spans="1:20" ht="12.75" customHeight="1">
      <c r="A39" s="428">
        <v>1</v>
      </c>
      <c r="B39" s="431">
        <f>пр.хода!G10</f>
        <v>0</v>
      </c>
      <c r="C39" s="404" t="e">
        <f>VLOOKUP(B39,пр.взв!B$7:E$22,2,FALSE)</f>
        <v>#N/A</v>
      </c>
      <c r="D39" s="406" t="e">
        <f>VLOOKUP(B39,пр.взв!B$7:E$22,3,FALSE)</f>
        <v>#N/A</v>
      </c>
      <c r="E39" s="406" t="e">
        <f>VLOOKUP(B39,пр.взв!B$7:E$22,4,FALSE)</f>
        <v>#N/A</v>
      </c>
      <c r="F39" s="406" t="e">
        <f>VLOOKUP(B39,пр.взв!B$7:F$22,5,FALSE)</f>
        <v>#N/A</v>
      </c>
      <c r="G39" s="411"/>
      <c r="H39" s="412"/>
      <c r="I39" s="413"/>
      <c r="J39" s="414"/>
      <c r="K39" s="428">
        <v>2</v>
      </c>
      <c r="L39" s="431">
        <f>пр.хода!O10</f>
        <v>0</v>
      </c>
      <c r="M39" s="404" t="e">
        <f>VLOOKUP(L39,пр.взв!B$7:F$22,2,FALSE)</f>
        <v>#N/A</v>
      </c>
      <c r="N39" s="406" t="e">
        <f>VLOOKUP(L39,пр.взв!B$7:F$22,3,FALSE)</f>
        <v>#N/A</v>
      </c>
      <c r="O39" s="406" t="e">
        <f>VLOOKUP(L39,пр.взв!B$7:F$22,4,FALSE)</f>
        <v>#N/A</v>
      </c>
      <c r="P39" s="406" t="e">
        <f>VLOOKUP(L39,пр.взв!B$7:F$22,5,FALSE)</f>
        <v>#N/A</v>
      </c>
      <c r="Q39" s="411"/>
      <c r="R39" s="412"/>
      <c r="S39" s="413"/>
      <c r="T39" s="414"/>
    </row>
    <row r="40" spans="1:20">
      <c r="A40" s="429"/>
      <c r="B40" s="403"/>
      <c r="C40" s="405"/>
      <c r="D40" s="407"/>
      <c r="E40" s="407"/>
      <c r="F40" s="407"/>
      <c r="G40" s="385"/>
      <c r="H40" s="385"/>
      <c r="I40" s="388"/>
      <c r="J40" s="293"/>
      <c r="K40" s="429"/>
      <c r="L40" s="403"/>
      <c r="M40" s="405"/>
      <c r="N40" s="407"/>
      <c r="O40" s="407"/>
      <c r="P40" s="407"/>
      <c r="Q40" s="385"/>
      <c r="R40" s="385"/>
      <c r="S40" s="388"/>
      <c r="T40" s="293"/>
    </row>
    <row r="41" spans="1:20" ht="12.75" customHeight="1">
      <c r="A41" s="429"/>
      <c r="B41" s="432">
        <f>пр.хода!G18</f>
        <v>0</v>
      </c>
      <c r="C41" s="392" t="e">
        <f>VLOOKUP(B41,пр.взв!B$7:E$22,2,FALSE)</f>
        <v>#N/A</v>
      </c>
      <c r="D41" s="394" t="e">
        <f>VLOOKUP(B41,пр.взв!B$7:E$22,3,FALSE)</f>
        <v>#N/A</v>
      </c>
      <c r="E41" s="394" t="e">
        <f>VLOOKUP(B41,пр.взв!B$7:E$22,4,FALSE)</f>
        <v>#N/A</v>
      </c>
      <c r="F41" s="394" t="e">
        <f>VLOOKUP(B41,пр.взв!B$7:F$22,5,FALSE)</f>
        <v>#N/A</v>
      </c>
      <c r="G41" s="396"/>
      <c r="H41" s="396"/>
      <c r="I41" s="294"/>
      <c r="J41" s="294"/>
      <c r="K41" s="429"/>
      <c r="L41" s="432">
        <f>пр.хода!O18</f>
        <v>0</v>
      </c>
      <c r="M41" s="392" t="e">
        <f>VLOOKUP(L41,пр.взв!B$7:F$22,2,FALSE)</f>
        <v>#N/A</v>
      </c>
      <c r="N41" s="394" t="e">
        <f>VLOOKUP(L41,пр.взв!B$7:F$22,3,FALSE)</f>
        <v>#N/A</v>
      </c>
      <c r="O41" s="394" t="e">
        <f>VLOOKUP(L41,пр.взв!B$7:F$22,4,FALSE)</f>
        <v>#N/A</v>
      </c>
      <c r="P41" s="394" t="e">
        <f>VLOOKUP(L41,пр.взв!B$7:F$22,5,FALSE)</f>
        <v>#N/A</v>
      </c>
      <c r="Q41" s="396"/>
      <c r="R41" s="396"/>
      <c r="S41" s="294"/>
      <c r="T41" s="294"/>
    </row>
    <row r="42" spans="1:20" ht="13.5" thickBot="1">
      <c r="A42" s="430"/>
      <c r="B42" s="391"/>
      <c r="C42" s="393"/>
      <c r="D42" s="395"/>
      <c r="E42" s="395"/>
      <c r="F42" s="395"/>
      <c r="G42" s="397"/>
      <c r="H42" s="397"/>
      <c r="I42" s="398"/>
      <c r="J42" s="398"/>
      <c r="K42" s="430"/>
      <c r="L42" s="391"/>
      <c r="M42" s="393"/>
      <c r="N42" s="395"/>
      <c r="O42" s="395"/>
      <c r="P42" s="395"/>
      <c r="Q42" s="397"/>
      <c r="R42" s="397"/>
      <c r="S42" s="398"/>
      <c r="T42" s="398"/>
    </row>
    <row r="43" spans="1:20">
      <c r="B43">
        <f>B35</f>
        <v>2</v>
      </c>
      <c r="C43" s="5" t="s">
        <v>92</v>
      </c>
      <c r="L43">
        <f>L35</f>
        <v>2</v>
      </c>
      <c r="M43" s="5" t="s">
        <v>92</v>
      </c>
    </row>
    <row r="44" spans="1:20" ht="15">
      <c r="A44" s="427" t="s">
        <v>93</v>
      </c>
      <c r="B44" s="427"/>
      <c r="C44" s="427"/>
      <c r="D44" s="427"/>
      <c r="E44" s="427"/>
      <c r="F44" s="427"/>
      <c r="G44" s="427"/>
      <c r="H44" s="427"/>
      <c r="I44" s="427"/>
      <c r="J44" s="427"/>
      <c r="K44" s="427" t="s">
        <v>93</v>
      </c>
      <c r="L44" s="427"/>
      <c r="M44" s="427"/>
      <c r="N44" s="427"/>
      <c r="O44" s="427"/>
      <c r="P44" s="427"/>
      <c r="Q44" s="427"/>
      <c r="R44" s="427"/>
      <c r="S44" s="427"/>
      <c r="T44" s="427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53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53 кг.</v>
      </c>
      <c r="R45" s="78"/>
      <c r="S45" s="78"/>
      <c r="T45" s="78"/>
    </row>
    <row r="46" spans="1:20" ht="12.75" customHeight="1">
      <c r="A46" s="423" t="s">
        <v>39</v>
      </c>
      <c r="B46" s="425" t="s">
        <v>4</v>
      </c>
      <c r="C46" s="417" t="s">
        <v>5</v>
      </c>
      <c r="D46" s="414" t="s">
        <v>12</v>
      </c>
      <c r="E46" s="445" t="s">
        <v>13</v>
      </c>
      <c r="F46" s="446"/>
      <c r="G46" s="417" t="s">
        <v>14</v>
      </c>
      <c r="H46" s="419" t="s">
        <v>40</v>
      </c>
      <c r="I46" s="421" t="s">
        <v>15</v>
      </c>
      <c r="J46" s="408" t="s">
        <v>16</v>
      </c>
      <c r="K46" s="423" t="s">
        <v>39</v>
      </c>
      <c r="L46" s="425" t="s">
        <v>4</v>
      </c>
      <c r="M46" s="417" t="s">
        <v>5</v>
      </c>
      <c r="N46" s="414" t="s">
        <v>12</v>
      </c>
      <c r="O46" s="433" t="s">
        <v>13</v>
      </c>
      <c r="P46" s="434"/>
      <c r="Q46" s="417" t="s">
        <v>14</v>
      </c>
      <c r="R46" s="419" t="s">
        <v>40</v>
      </c>
      <c r="S46" s="421" t="s">
        <v>15</v>
      </c>
      <c r="T46" s="408" t="s">
        <v>16</v>
      </c>
    </row>
    <row r="47" spans="1:20" ht="13.5" customHeight="1" thickBot="1">
      <c r="A47" s="424"/>
      <c r="B47" s="426" t="s">
        <v>33</v>
      </c>
      <c r="C47" s="418"/>
      <c r="D47" s="416"/>
      <c r="E47" s="447"/>
      <c r="F47" s="448"/>
      <c r="G47" s="418"/>
      <c r="H47" s="420"/>
      <c r="I47" s="422"/>
      <c r="J47" s="409" t="s">
        <v>34</v>
      </c>
      <c r="K47" s="424"/>
      <c r="L47" s="426" t="s">
        <v>33</v>
      </c>
      <c r="M47" s="418"/>
      <c r="N47" s="416"/>
      <c r="O47" s="435"/>
      <c r="P47" s="436"/>
      <c r="Q47" s="418"/>
      <c r="R47" s="420"/>
      <c r="S47" s="422"/>
      <c r="T47" s="409" t="s">
        <v>34</v>
      </c>
    </row>
    <row r="48" spans="1:20" ht="12.75" customHeight="1">
      <c r="A48" s="399">
        <v>1</v>
      </c>
      <c r="B48" s="402" t="str">
        <f>пр.хода!A25</f>
        <v xml:space="preserve"> </v>
      </c>
      <c r="C48" s="404" t="e">
        <f>VLOOKUP(B48,пр.взв!B$7:E$22,2,FALSE)</f>
        <v>#N/A</v>
      </c>
      <c r="D48" s="406" t="e">
        <f>VLOOKUP(B48,пр.взв!B$7:E$22,3,FALSE)</f>
        <v>#N/A</v>
      </c>
      <c r="E48" s="406" t="e">
        <f>VLOOKUP(B48,пр.взв!B$7:E$22,4,FALSE)</f>
        <v>#N/A</v>
      </c>
      <c r="F48" s="406" t="e">
        <f>VLOOKUP(B48,пр.взв!B$7:F$22,5,FALSE)</f>
        <v>#N/A</v>
      </c>
      <c r="G48" s="411"/>
      <c r="H48" s="412"/>
      <c r="I48" s="413"/>
      <c r="J48" s="414"/>
      <c r="K48" s="399">
        <v>3</v>
      </c>
      <c r="L48" s="415" t="str">
        <f>пр.хода!I25</f>
        <v xml:space="preserve"> </v>
      </c>
      <c r="M48" s="404" t="e">
        <f>VLOOKUP(L48,пр.взв!B$7:F$22,2,FALSE)</f>
        <v>#N/A</v>
      </c>
      <c r="N48" s="406" t="e">
        <f>VLOOKUP(L48,пр.взв!B$7:F$22,3,FALSE)</f>
        <v>#N/A</v>
      </c>
      <c r="O48" s="406" t="e">
        <f>VLOOKUP(L48,пр.взв!B$7:F$22,4,FALSE)</f>
        <v>#N/A</v>
      </c>
      <c r="P48" s="406" t="e">
        <f>VLOOKUP(L48,пр.взв!B$7:F$22,5,FALSE)</f>
        <v>#N/A</v>
      </c>
      <c r="Q48" s="384"/>
      <c r="R48" s="386"/>
      <c r="S48" s="387"/>
      <c r="T48" s="389"/>
    </row>
    <row r="49" spans="1:20">
      <c r="A49" s="400"/>
      <c r="B49" s="403"/>
      <c r="C49" s="405"/>
      <c r="D49" s="407"/>
      <c r="E49" s="407"/>
      <c r="F49" s="407"/>
      <c r="G49" s="385"/>
      <c r="H49" s="385"/>
      <c r="I49" s="388"/>
      <c r="J49" s="293"/>
      <c r="K49" s="400"/>
      <c r="L49" s="403"/>
      <c r="M49" s="405"/>
      <c r="N49" s="407"/>
      <c r="O49" s="407"/>
      <c r="P49" s="407"/>
      <c r="Q49" s="385"/>
      <c r="R49" s="385"/>
      <c r="S49" s="388"/>
      <c r="T49" s="293"/>
    </row>
    <row r="50" spans="1:20" ht="12.75" customHeight="1">
      <c r="A50" s="400"/>
      <c r="B50" s="390" t="str">
        <f>пр.хода!A27</f>
        <v xml:space="preserve"> </v>
      </c>
      <c r="C50" s="392" t="e">
        <f>VLOOKUP(B50,пр.взв!B$7:E$22,2,FALSE)</f>
        <v>#N/A</v>
      </c>
      <c r="D50" s="394" t="e">
        <f>VLOOKUP(B50,пр.взв!B$7:E$22,3,FALSE)</f>
        <v>#N/A</v>
      </c>
      <c r="E50" s="394" t="e">
        <f>VLOOKUP(B50,пр.взв!B$7:E$22,4,FALSE)</f>
        <v>#N/A</v>
      </c>
      <c r="F50" s="394" t="e">
        <f>VLOOKUP(B50,пр.взв!B$7:F$22,5,FALSE)</f>
        <v>#N/A</v>
      </c>
      <c r="G50" s="396"/>
      <c r="H50" s="396"/>
      <c r="I50" s="294"/>
      <c r="J50" s="294"/>
      <c r="K50" s="400"/>
      <c r="L50" s="390" t="str">
        <f>пр.хода!I27</f>
        <v xml:space="preserve"> </v>
      </c>
      <c r="M50" s="392" t="e">
        <f>VLOOKUP(L50,пр.взв!B$7:F$22,2,FALSE)</f>
        <v>#N/A</v>
      </c>
      <c r="N50" s="394" t="e">
        <f>VLOOKUP(L50,пр.взв!B$7:F$22,3,FALSE)</f>
        <v>#N/A</v>
      </c>
      <c r="O50" s="394" t="e">
        <f>VLOOKUP(L50,пр.взв!B$7:F$22,4,FALSE)</f>
        <v>#N/A</v>
      </c>
      <c r="P50" s="394" t="e">
        <f>VLOOKUP(L50,пр.взв!B$7:F$22,5,FALSE)</f>
        <v>#N/A</v>
      </c>
      <c r="Q50" s="396"/>
      <c r="R50" s="396"/>
      <c r="S50" s="294"/>
      <c r="T50" s="294"/>
    </row>
    <row r="51" spans="1:20" ht="13.5" thickBot="1">
      <c r="A51" s="410"/>
      <c r="B51" s="391"/>
      <c r="C51" s="393"/>
      <c r="D51" s="395"/>
      <c r="E51" s="395"/>
      <c r="F51" s="395"/>
      <c r="G51" s="397"/>
      <c r="H51" s="397"/>
      <c r="I51" s="398"/>
      <c r="J51" s="398"/>
      <c r="K51" s="401"/>
      <c r="L51" s="391"/>
      <c r="M51" s="393"/>
      <c r="N51" s="395"/>
      <c r="O51" s="395"/>
      <c r="P51" s="395"/>
      <c r="Q51" s="397"/>
      <c r="R51" s="397"/>
      <c r="S51" s="398"/>
      <c r="T51" s="398"/>
    </row>
    <row r="52" spans="1:20" ht="12.75" customHeight="1">
      <c r="A52" s="399">
        <v>2</v>
      </c>
      <c r="B52" s="402" t="str">
        <f>пр.хода!A31</f>
        <v xml:space="preserve"> </v>
      </c>
      <c r="C52" s="404" t="e">
        <f>VLOOKUP(B52,пр.взв!B$7:E$22,2,FALSE)</f>
        <v>#N/A</v>
      </c>
      <c r="D52" s="406" t="e">
        <f>VLOOKUP(B52,пр.взв!B$7:E$22,3,FALSE)</f>
        <v>#N/A</v>
      </c>
      <c r="E52" s="406" t="e">
        <f>VLOOKUP(B52,пр.взв!B$7:E$22,4,FALSE)</f>
        <v>#N/A</v>
      </c>
      <c r="F52" s="406" t="e">
        <f>VLOOKUP(B52,пр.взв!B$7:F$22,5,FALSE)</f>
        <v>#N/A</v>
      </c>
      <c r="G52" s="384"/>
      <c r="H52" s="386"/>
      <c r="I52" s="387"/>
      <c r="J52" s="389"/>
      <c r="K52" s="400">
        <v>4</v>
      </c>
      <c r="L52" s="402" t="str">
        <f>пр.хода!I31</f>
        <v xml:space="preserve"> </v>
      </c>
      <c r="M52" s="404" t="e">
        <f>VLOOKUP(L52,пр.взв!B$7:F$22,2,FALSE)</f>
        <v>#N/A</v>
      </c>
      <c r="N52" s="406" t="e">
        <f>VLOOKUP(L52,пр.взв!B$7:F$22,3,FALSE)</f>
        <v>#N/A</v>
      </c>
      <c r="O52" s="406" t="e">
        <f>VLOOKUP(L52,пр.взв!B$7:F$22,4,FALSE)</f>
        <v>#N/A</v>
      </c>
      <c r="P52" s="406" t="e">
        <f>VLOOKUP(L52,пр.взв!B$7:F$22,5,FALSE)</f>
        <v>#N/A</v>
      </c>
      <c r="Q52" s="384"/>
      <c r="R52" s="386"/>
      <c r="S52" s="387"/>
      <c r="T52" s="389"/>
    </row>
    <row r="53" spans="1:20">
      <c r="A53" s="400"/>
      <c r="B53" s="403"/>
      <c r="C53" s="405"/>
      <c r="D53" s="407"/>
      <c r="E53" s="407"/>
      <c r="F53" s="407"/>
      <c r="G53" s="385"/>
      <c r="H53" s="385"/>
      <c r="I53" s="388"/>
      <c r="J53" s="293"/>
      <c r="K53" s="400"/>
      <c r="L53" s="403"/>
      <c r="M53" s="405"/>
      <c r="N53" s="407"/>
      <c r="O53" s="407"/>
      <c r="P53" s="407"/>
      <c r="Q53" s="385"/>
      <c r="R53" s="385"/>
      <c r="S53" s="388"/>
      <c r="T53" s="293"/>
    </row>
    <row r="54" spans="1:20" ht="12.75" customHeight="1">
      <c r="A54" s="400"/>
      <c r="B54" s="390" t="str">
        <f>пр.хода!A33</f>
        <v xml:space="preserve"> </v>
      </c>
      <c r="C54" s="392" t="e">
        <f>VLOOKUP(B54,пр.взв!B$7:E$22,2,FALSE)</f>
        <v>#N/A</v>
      </c>
      <c r="D54" s="394" t="e">
        <f>VLOOKUP(B54,пр.взв!B$7:E$22,3,FALSE)</f>
        <v>#N/A</v>
      </c>
      <c r="E54" s="394" t="e">
        <f>VLOOKUP(B54,пр.взв!B$7:E$22,4,FALSE)</f>
        <v>#N/A</v>
      </c>
      <c r="F54" s="394" t="e">
        <f>VLOOKUP(B54,пр.взв!B$7:F$22,5,FALSE)</f>
        <v>#N/A</v>
      </c>
      <c r="G54" s="396"/>
      <c r="H54" s="396"/>
      <c r="I54" s="294"/>
      <c r="J54" s="294"/>
      <c r="K54" s="400"/>
      <c r="L54" s="390" t="str">
        <f>пр.хода!I33</f>
        <v xml:space="preserve"> </v>
      </c>
      <c r="M54" s="392" t="e">
        <f>VLOOKUP(L54,пр.взв!B$7:F$22,2,FALSE)</f>
        <v>#N/A</v>
      </c>
      <c r="N54" s="394" t="e">
        <f>VLOOKUP(L54,пр.взв!B$7:F$22,3,FALSE)</f>
        <v>#N/A</v>
      </c>
      <c r="O54" s="394" t="e">
        <f>VLOOKUP(L54,пр.взв!B$7:F$22,4,FALSE)</f>
        <v>#N/A</v>
      </c>
      <c r="P54" s="394" t="e">
        <f>VLOOKUP(L54,пр.взв!B$7:F$22,5,FALSE)</f>
        <v>#N/A</v>
      </c>
      <c r="Q54" s="396"/>
      <c r="R54" s="396"/>
      <c r="S54" s="294"/>
      <c r="T54" s="294"/>
    </row>
    <row r="55" spans="1:20" ht="13.5" thickBot="1">
      <c r="A55" s="401"/>
      <c r="B55" s="391"/>
      <c r="C55" s="393"/>
      <c r="D55" s="395"/>
      <c r="E55" s="395"/>
      <c r="F55" s="395"/>
      <c r="G55" s="397"/>
      <c r="H55" s="397"/>
      <c r="I55" s="398"/>
      <c r="J55" s="398"/>
      <c r="K55" s="401"/>
      <c r="L55" s="391"/>
      <c r="M55" s="393"/>
      <c r="N55" s="395"/>
      <c r="O55" s="395"/>
      <c r="P55" s="395"/>
      <c r="Q55" s="397"/>
      <c r="R55" s="397"/>
      <c r="S55" s="398"/>
      <c r="T55" s="398"/>
    </row>
    <row r="56" spans="1:20">
      <c r="B56">
        <f>B43</f>
        <v>2</v>
      </c>
      <c r="C56" s="5" t="s">
        <v>92</v>
      </c>
      <c r="L56">
        <f>L43</f>
        <v>2</v>
      </c>
      <c r="M56" s="5" t="s">
        <v>92</v>
      </c>
    </row>
    <row r="57" spans="1:20" ht="15">
      <c r="A57" s="427" t="s">
        <v>94</v>
      </c>
      <c r="B57" s="427"/>
      <c r="C57" s="427"/>
      <c r="D57" s="427"/>
      <c r="E57" s="427"/>
      <c r="F57" s="427"/>
      <c r="G57" s="427"/>
      <c r="H57" s="427"/>
      <c r="I57" s="427"/>
      <c r="J57" s="427"/>
      <c r="K57" s="427" t="s">
        <v>94</v>
      </c>
      <c r="L57" s="427"/>
      <c r="M57" s="427"/>
      <c r="N57" s="427"/>
      <c r="O57" s="427"/>
      <c r="P57" s="427"/>
      <c r="Q57" s="427"/>
      <c r="R57" s="427"/>
      <c r="S57" s="427"/>
      <c r="T57" s="427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53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53 кг.</v>
      </c>
      <c r="R58" s="78"/>
      <c r="S58" s="78"/>
      <c r="T58" s="78"/>
    </row>
    <row r="59" spans="1:20" ht="12.75" customHeight="1">
      <c r="A59" s="423" t="s">
        <v>39</v>
      </c>
      <c r="B59" s="425" t="s">
        <v>4</v>
      </c>
      <c r="C59" s="417" t="s">
        <v>5</v>
      </c>
      <c r="D59" s="414" t="s">
        <v>12</v>
      </c>
      <c r="E59" s="445" t="s">
        <v>13</v>
      </c>
      <c r="F59" s="446"/>
      <c r="G59" s="417" t="s">
        <v>14</v>
      </c>
      <c r="H59" s="419" t="s">
        <v>40</v>
      </c>
      <c r="I59" s="421" t="s">
        <v>15</v>
      </c>
      <c r="J59" s="408" t="s">
        <v>16</v>
      </c>
      <c r="K59" s="423" t="s">
        <v>39</v>
      </c>
      <c r="L59" s="462" t="s">
        <v>4</v>
      </c>
      <c r="M59" s="417" t="s">
        <v>5</v>
      </c>
      <c r="N59" s="414" t="s">
        <v>12</v>
      </c>
      <c r="O59" s="433" t="s">
        <v>13</v>
      </c>
      <c r="P59" s="434"/>
      <c r="Q59" s="417" t="s">
        <v>14</v>
      </c>
      <c r="R59" s="419" t="s">
        <v>40</v>
      </c>
      <c r="S59" s="421" t="s">
        <v>15</v>
      </c>
      <c r="T59" s="408" t="s">
        <v>16</v>
      </c>
    </row>
    <row r="60" spans="1:20" ht="13.5" customHeight="1" thickBot="1">
      <c r="A60" s="424"/>
      <c r="B60" s="426" t="s">
        <v>33</v>
      </c>
      <c r="C60" s="418"/>
      <c r="D60" s="416"/>
      <c r="E60" s="447"/>
      <c r="F60" s="448"/>
      <c r="G60" s="418"/>
      <c r="H60" s="420"/>
      <c r="I60" s="422"/>
      <c r="J60" s="409" t="s">
        <v>34</v>
      </c>
      <c r="K60" s="424"/>
      <c r="L60" s="463" t="s">
        <v>33</v>
      </c>
      <c r="M60" s="418"/>
      <c r="N60" s="416"/>
      <c r="O60" s="435"/>
      <c r="P60" s="436"/>
      <c r="Q60" s="418"/>
      <c r="R60" s="420"/>
      <c r="S60" s="422"/>
      <c r="T60" s="409" t="s">
        <v>34</v>
      </c>
    </row>
    <row r="61" spans="1:20" ht="12.75" customHeight="1">
      <c r="A61" s="399">
        <v>1</v>
      </c>
      <c r="B61" s="464">
        <f>пр.хода!C26</f>
        <v>0</v>
      </c>
      <c r="C61" s="404" t="e">
        <f>VLOOKUP(B61,пр.взв!B$7:E$22,2,FALSE)</f>
        <v>#N/A</v>
      </c>
      <c r="D61" s="406" t="e">
        <f>VLOOKUP(B61,пр.взв!B$7:E$22,3,FALSE)</f>
        <v>#N/A</v>
      </c>
      <c r="E61" s="406" t="e">
        <f>VLOOKUP(B61,пр.взв!B$7:E$22,4,FALSE)</f>
        <v>#N/A</v>
      </c>
      <c r="F61" s="406" t="e">
        <f>VLOOKUP(B61,пр.взв!B$7:F$22,5,FALSE)</f>
        <v>#N/A</v>
      </c>
      <c r="G61" s="411"/>
      <c r="H61" s="412"/>
      <c r="I61" s="413"/>
      <c r="J61" s="414"/>
      <c r="K61" s="399">
        <v>2</v>
      </c>
      <c r="L61" s="431">
        <f>пр.хода!M26</f>
        <v>0</v>
      </c>
      <c r="M61" s="404" t="e">
        <f>VLOOKUP(L61,пр.взв!B$7:F$22,2,FALSE)</f>
        <v>#N/A</v>
      </c>
      <c r="N61" s="406" t="e">
        <f>VLOOKUP(L61,пр.взв!B$7:F$22,3,FALSE)</f>
        <v>#N/A</v>
      </c>
      <c r="O61" s="406" t="e">
        <f>VLOOKUP(L61,пр.взв!B$7:F$22,4,FALSE)</f>
        <v>#N/A</v>
      </c>
      <c r="P61" s="406" t="e">
        <f>VLOOKUP(L61,пр.взв!B$7:F$22,5,FALSE)</f>
        <v>#N/A</v>
      </c>
      <c r="Q61" s="384"/>
      <c r="R61" s="386"/>
      <c r="S61" s="387"/>
      <c r="T61" s="389"/>
    </row>
    <row r="62" spans="1:20">
      <c r="A62" s="400"/>
      <c r="B62" s="465"/>
      <c r="C62" s="405"/>
      <c r="D62" s="407"/>
      <c r="E62" s="407"/>
      <c r="F62" s="407"/>
      <c r="G62" s="385"/>
      <c r="H62" s="385"/>
      <c r="I62" s="388"/>
      <c r="J62" s="293"/>
      <c r="K62" s="400"/>
      <c r="L62" s="465"/>
      <c r="M62" s="405"/>
      <c r="N62" s="407"/>
      <c r="O62" s="407"/>
      <c r="P62" s="407"/>
      <c r="Q62" s="385"/>
      <c r="R62" s="385"/>
      <c r="S62" s="388"/>
      <c r="T62" s="293"/>
    </row>
    <row r="63" spans="1:20" ht="12.75" customHeight="1">
      <c r="A63" s="400"/>
      <c r="B63" s="432">
        <f>пр.хода!C32</f>
        <v>0</v>
      </c>
      <c r="C63" s="392" t="e">
        <f>VLOOKUP(B63,пр.взв!B$7:E$22,2,FALSE)</f>
        <v>#N/A</v>
      </c>
      <c r="D63" s="394" t="e">
        <f>VLOOKUP(B63,пр.взв!B$7:E$22,3,FALSE)</f>
        <v>#N/A</v>
      </c>
      <c r="E63" s="394" t="e">
        <f>VLOOKUP(B63,пр.взв!B$7:E$22,4,FALSE)</f>
        <v>#N/A</v>
      </c>
      <c r="F63" s="394" t="e">
        <f>VLOOKUP(B63,пр.взв!B$7:F$22,5,FALSE)</f>
        <v>#N/A</v>
      </c>
      <c r="G63" s="396"/>
      <c r="H63" s="396"/>
      <c r="I63" s="294"/>
      <c r="J63" s="294"/>
      <c r="K63" s="400"/>
      <c r="L63" s="432">
        <f>пр.хода!M32</f>
        <v>0</v>
      </c>
      <c r="M63" s="392" t="e">
        <f>VLOOKUP(L63,пр.взв!B$7:F$22,2,FALSE)</f>
        <v>#N/A</v>
      </c>
      <c r="N63" s="394" t="e">
        <f>VLOOKUP(L63,пр.взв!B$7:F$22,3,FALSE)</f>
        <v>#N/A</v>
      </c>
      <c r="O63" s="394" t="e">
        <f>VLOOKUP(L63,пр.взв!B$7:F$22,4,FALSE)</f>
        <v>#N/A</v>
      </c>
      <c r="P63" s="394" t="e">
        <f>VLOOKUP(L63,пр.взв!B$7:F$22,5,FALSE)</f>
        <v>#N/A</v>
      </c>
      <c r="Q63" s="396"/>
      <c r="R63" s="396"/>
      <c r="S63" s="294"/>
      <c r="T63" s="294"/>
    </row>
    <row r="64" spans="1:20" ht="13.5" thickBot="1">
      <c r="A64" s="401"/>
      <c r="B64" s="466"/>
      <c r="C64" s="393"/>
      <c r="D64" s="395"/>
      <c r="E64" s="395"/>
      <c r="F64" s="395"/>
      <c r="G64" s="397"/>
      <c r="H64" s="397"/>
      <c r="I64" s="398"/>
      <c r="J64" s="398"/>
      <c r="K64" s="401"/>
      <c r="L64" s="466"/>
      <c r="M64" s="393"/>
      <c r="N64" s="395"/>
      <c r="O64" s="395"/>
      <c r="P64" s="395"/>
      <c r="Q64" s="397"/>
      <c r="R64" s="397"/>
      <c r="S64" s="398"/>
      <c r="T64" s="398"/>
    </row>
  </sheetData>
  <mergeCells count="478"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77" t="str">
        <f>пр.взв!B2</f>
        <v>Первенство России по самбо среди юниоров и юниорок до 24 лет  ЕКП № 1802, отбор на Кубок Европы 2022г.</v>
      </c>
      <c r="B1" s="478"/>
      <c r="C1" s="478"/>
      <c r="D1" s="478"/>
      <c r="E1" s="478"/>
      <c r="F1" s="478"/>
      <c r="G1" s="478"/>
      <c r="H1" s="478"/>
      <c r="I1" s="478"/>
    </row>
    <row r="2" spans="1:9" ht="27" customHeight="1">
      <c r="D2" s="53"/>
      <c r="E2" s="68" t="str">
        <f>HYPERLINK(пр.взв!D4)</f>
        <v>В.к. 53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93" t="s">
        <v>11</v>
      </c>
      <c r="B5" s="293" t="s">
        <v>4</v>
      </c>
      <c r="C5" s="389" t="s">
        <v>5</v>
      </c>
      <c r="D5" s="293" t="s">
        <v>12</v>
      </c>
      <c r="E5" s="467" t="s">
        <v>13</v>
      </c>
      <c r="F5" s="468"/>
      <c r="G5" s="293" t="s">
        <v>14</v>
      </c>
      <c r="H5" s="293" t="s">
        <v>15</v>
      </c>
      <c r="I5" s="293" t="s">
        <v>16</v>
      </c>
    </row>
    <row r="6" spans="1:9">
      <c r="A6" s="294"/>
      <c r="B6" s="294"/>
      <c r="C6" s="294"/>
      <c r="D6" s="294"/>
      <c r="E6" s="469"/>
      <c r="F6" s="470"/>
      <c r="G6" s="294"/>
      <c r="H6" s="294"/>
      <c r="I6" s="294"/>
    </row>
    <row r="7" spans="1:9">
      <c r="A7" s="473"/>
      <c r="B7" s="450">
        <f>пр.хода!D29</f>
        <v>0</v>
      </c>
      <c r="C7" s="472" t="e">
        <f>VLOOKUP(B7,пр.взв!B7:D22,2,FALSE)</f>
        <v>#N/A</v>
      </c>
      <c r="D7" s="472" t="e">
        <f>VLOOKUP(B7,пр.взв!B7:F38,3,FALSE)</f>
        <v>#N/A</v>
      </c>
      <c r="E7" s="471" t="e">
        <f>VLOOKUP(B7,пр.взв!B7:F38,4,FALSE)</f>
        <v>#N/A</v>
      </c>
      <c r="F7" s="472" t="e">
        <f>VLOOKUP(B7,пр.взв!B7:G28,5,FALSE)</f>
        <v>#N/A</v>
      </c>
      <c r="G7" s="385"/>
      <c r="H7" s="388"/>
      <c r="I7" s="293"/>
    </row>
    <row r="8" spans="1:9">
      <c r="A8" s="473"/>
      <c r="B8" s="293"/>
      <c r="C8" s="472"/>
      <c r="D8" s="472"/>
      <c r="E8" s="471"/>
      <c r="F8" s="472"/>
      <c r="G8" s="385"/>
      <c r="H8" s="388"/>
      <c r="I8" s="293"/>
    </row>
    <row r="9" spans="1:9">
      <c r="A9" s="474"/>
      <c r="B9" s="450" t="str">
        <f>пр.хода!C35</f>
        <v/>
      </c>
      <c r="C9" s="472" t="e">
        <f>VLOOKUP(B9,пр.взв!B7:D22,2,FALSE)</f>
        <v>#N/A</v>
      </c>
      <c r="D9" s="472" t="e">
        <f>VLOOKUP(B9,пр.взв!B7:F40,3,FALSE)</f>
        <v>#N/A</v>
      </c>
      <c r="E9" s="471" t="e">
        <f>VLOOKUP(B9,пр.взв!B7:F40,4,FALSE)</f>
        <v>#N/A</v>
      </c>
      <c r="F9" s="472" t="e">
        <f>VLOOKUP(B9,пр.взв!B7:G30,5,FALSE)</f>
        <v>#N/A</v>
      </c>
      <c r="G9" s="385"/>
      <c r="H9" s="293"/>
      <c r="I9" s="293"/>
    </row>
    <row r="10" spans="1:9">
      <c r="A10" s="474"/>
      <c r="B10" s="293"/>
      <c r="C10" s="472"/>
      <c r="D10" s="472"/>
      <c r="E10" s="471"/>
      <c r="F10" s="472"/>
      <c r="G10" s="385"/>
      <c r="H10" s="293"/>
      <c r="I10" s="293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53 кг.</v>
      </c>
    </row>
    <row r="17" spans="1:9" ht="12.75" customHeight="1">
      <c r="A17" s="293" t="s">
        <v>11</v>
      </c>
      <c r="B17" s="293" t="s">
        <v>4</v>
      </c>
      <c r="C17" s="389" t="s">
        <v>5</v>
      </c>
      <c r="D17" s="293" t="s">
        <v>12</v>
      </c>
      <c r="E17" s="467" t="s">
        <v>13</v>
      </c>
      <c r="F17" s="468"/>
      <c r="G17" s="293" t="s">
        <v>14</v>
      </c>
      <c r="H17" s="293" t="s">
        <v>15</v>
      </c>
      <c r="I17" s="293" t="s">
        <v>16</v>
      </c>
    </row>
    <row r="18" spans="1:9">
      <c r="A18" s="294"/>
      <c r="B18" s="294"/>
      <c r="C18" s="294"/>
      <c r="D18" s="294"/>
      <c r="E18" s="469"/>
      <c r="F18" s="470"/>
      <c r="G18" s="294"/>
      <c r="H18" s="294"/>
      <c r="I18" s="294"/>
    </row>
    <row r="19" spans="1:9">
      <c r="A19" s="473"/>
      <c r="B19" s="450">
        <f>пр.хода!N29</f>
        <v>0</v>
      </c>
      <c r="C19" s="475" t="e">
        <f>VLOOKUP(B19,пр.взв!B1:D22,2,FALSE)</f>
        <v>#N/A</v>
      </c>
      <c r="D19" s="475" t="e">
        <f>VLOOKUP(B19,пр.взв!B1:F22,3,FALSE)</f>
        <v>#N/A</v>
      </c>
      <c r="E19" s="480" t="e">
        <f>VLOOKUP(B19,пр.взв!B1:F22,4,FALSE)</f>
        <v>#N/A</v>
      </c>
      <c r="F19" s="472" t="e">
        <f>VLOOKUP(B19,пр.взв!B1:G22,5,FALSE)</f>
        <v>#N/A</v>
      </c>
      <c r="G19" s="479"/>
      <c r="H19" s="388"/>
      <c r="I19" s="293"/>
    </row>
    <row r="20" spans="1:9">
      <c r="A20" s="473"/>
      <c r="B20" s="293"/>
      <c r="C20" s="476"/>
      <c r="D20" s="476"/>
      <c r="E20" s="482"/>
      <c r="F20" s="472"/>
      <c r="G20" s="479"/>
      <c r="H20" s="388"/>
      <c r="I20" s="293"/>
    </row>
    <row r="21" spans="1:9">
      <c r="A21" s="474"/>
      <c r="B21" s="450" t="str">
        <f>пр.хода!M35</f>
        <v/>
      </c>
      <c r="C21" s="475" t="e">
        <f>VLOOKUP(B21,пр.взв!B1:D22,2,FALSE)</f>
        <v>#N/A</v>
      </c>
      <c r="D21" s="475" t="e">
        <f>VLOOKUP(B21,пр.взв!B1:F22,3,FALSE)</f>
        <v>#N/A</v>
      </c>
      <c r="E21" s="480" t="e">
        <f>VLOOKUP(B21,пр.взв!B2:F22,4,FALSE)</f>
        <v>#N/A</v>
      </c>
      <c r="F21" s="472" t="e">
        <f>VLOOKUP(B21,пр.взв!B1:G22,5,FALSE)</f>
        <v>#N/A</v>
      </c>
      <c r="G21" s="479"/>
      <c r="H21" s="293"/>
      <c r="I21" s="293"/>
    </row>
    <row r="22" spans="1:9">
      <c r="A22" s="474"/>
      <c r="B22" s="293"/>
      <c r="C22" s="476"/>
      <c r="D22" s="476"/>
      <c r="E22" s="481"/>
      <c r="F22" s="472"/>
      <c r="G22" s="479"/>
      <c r="H22" s="293"/>
      <c r="I22" s="293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53 кг.</v>
      </c>
    </row>
    <row r="30" spans="1:9" ht="12.75" customHeight="1">
      <c r="A30" s="293" t="s">
        <v>11</v>
      </c>
      <c r="B30" s="293" t="s">
        <v>4</v>
      </c>
      <c r="C30" s="389" t="s">
        <v>5</v>
      </c>
      <c r="D30" s="293" t="s">
        <v>12</v>
      </c>
      <c r="E30" s="467" t="s">
        <v>13</v>
      </c>
      <c r="F30" s="468"/>
      <c r="G30" s="293" t="s">
        <v>14</v>
      </c>
      <c r="H30" s="293" t="s">
        <v>15</v>
      </c>
      <c r="I30" s="293" t="s">
        <v>16</v>
      </c>
    </row>
    <row r="31" spans="1:9">
      <c r="A31" s="294"/>
      <c r="B31" s="294"/>
      <c r="C31" s="294"/>
      <c r="D31" s="294"/>
      <c r="E31" s="469"/>
      <c r="F31" s="470"/>
      <c r="G31" s="294"/>
      <c r="H31" s="294"/>
      <c r="I31" s="294"/>
    </row>
    <row r="32" spans="1:9">
      <c r="A32" s="473"/>
      <c r="B32" s="450">
        <f>пр.хода!I14</f>
        <v>0</v>
      </c>
      <c r="C32" s="472" t="e">
        <f>VLOOKUP(B32,пр.взв!B3:D22,2,FALSE)</f>
        <v>#N/A</v>
      </c>
      <c r="D32" s="472" t="e">
        <f>VLOOKUP(B32,пр.взв!B3:F22,3,FALSE)</f>
        <v>#N/A</v>
      </c>
      <c r="E32" s="471" t="e">
        <f>VLOOKUP(B32,пр.взв!B3:F22,4,FALSE)</f>
        <v>#N/A</v>
      </c>
      <c r="F32" s="472" t="e">
        <f>VLOOKUP(B32,пр.взв!B3:G22,5,FALSE)</f>
        <v>#N/A</v>
      </c>
      <c r="G32" s="385"/>
      <c r="H32" s="388"/>
      <c r="I32" s="293"/>
    </row>
    <row r="33" spans="1:9">
      <c r="A33" s="473"/>
      <c r="B33" s="293"/>
      <c r="C33" s="472"/>
      <c r="D33" s="472"/>
      <c r="E33" s="471"/>
      <c r="F33" s="472"/>
      <c r="G33" s="385"/>
      <c r="H33" s="388"/>
      <c r="I33" s="293"/>
    </row>
    <row r="34" spans="1:9">
      <c r="A34" s="474"/>
      <c r="B34" s="450">
        <f>пр.хода!M14</f>
        <v>0</v>
      </c>
      <c r="C34" s="472" t="e">
        <f>VLOOKUP(B34,пр.взв!B3:D22,2,FALSE)</f>
        <v>#N/A</v>
      </c>
      <c r="D34" s="472" t="e">
        <f>VLOOKUP(B34,пр.взв!B3:F22,3,FALSE)</f>
        <v>#N/A</v>
      </c>
      <c r="E34" s="471" t="e">
        <f>VLOOKUP(B34,пр.взв!B3:F22,4,FALSE)</f>
        <v>#N/A</v>
      </c>
      <c r="F34" s="472" t="e">
        <f>VLOOKUP(B34,пр.взв!B3:G22,5,FALSE)</f>
        <v>#N/A</v>
      </c>
      <c r="G34" s="385"/>
      <c r="H34" s="293"/>
      <c r="I34" s="293"/>
    </row>
    <row r="35" spans="1:9">
      <c r="A35" s="474"/>
      <c r="B35" s="293"/>
      <c r="C35" s="472"/>
      <c r="D35" s="472"/>
      <c r="E35" s="471"/>
      <c r="F35" s="472"/>
      <c r="G35" s="385"/>
      <c r="H35" s="293"/>
      <c r="I35" s="293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82" t="s">
        <v>22</v>
      </c>
      <c r="B1" s="382"/>
      <c r="C1" s="382"/>
      <c r="D1" s="382"/>
      <c r="E1" s="382"/>
      <c r="F1" s="382"/>
      <c r="G1" s="382"/>
      <c r="H1" s="38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83" t="s">
        <v>71</v>
      </c>
      <c r="C2" s="483"/>
      <c r="D2" s="484" t="str">
        <f>пр.взв!B2</f>
        <v>Первенство России по самбо среди юниоров и юниорок до 24 лет  ЕКП № 1802, отбор на Кубок Европы 2022г.</v>
      </c>
      <c r="E2" s="485"/>
      <c r="F2" s="485"/>
      <c r="G2" s="485"/>
      <c r="H2" s="486"/>
      <c r="T2" s="288">
        <f>SUMIF(J14:J16,V1,$K$14:$K$17)</f>
        <v>2</v>
      </c>
      <c r="U2" s="288"/>
      <c r="V2" s="288"/>
      <c r="W2" s="288"/>
      <c r="X2" s="288"/>
    </row>
    <row r="3" spans="1:41" ht="24.75" customHeight="1" thickBot="1">
      <c r="A3" s="110"/>
      <c r="B3" s="491" t="str">
        <f>пр.взв!A3</f>
        <v>17-21 января 2022года                          г.Кстово</v>
      </c>
      <c r="C3" s="491"/>
      <c r="D3" s="491"/>
      <c r="E3" s="491"/>
      <c r="F3" s="491"/>
      <c r="G3" s="483" t="str">
        <f>пр.взв!D4</f>
        <v>В.к. 53 кг.</v>
      </c>
      <c r="H3" s="492"/>
    </row>
    <row r="4" spans="1:41" ht="12.75" customHeight="1" thickBot="1">
      <c r="A4" s="493" t="s">
        <v>44</v>
      </c>
      <c r="B4" s="495" t="s">
        <v>4</v>
      </c>
      <c r="C4" s="497" t="s">
        <v>5</v>
      </c>
      <c r="D4" s="446" t="s">
        <v>6</v>
      </c>
      <c r="E4" s="445" t="s">
        <v>7</v>
      </c>
      <c r="F4" s="446"/>
      <c r="G4" s="489" t="s">
        <v>9</v>
      </c>
      <c r="H4" s="487" t="s">
        <v>8</v>
      </c>
      <c r="J4" s="500" t="e">
        <f>IFERROR(LEFT(F6,FIND(",",F6)-1),F6)</f>
        <v>#N/A</v>
      </c>
      <c r="K4" s="499">
        <v>1</v>
      </c>
      <c r="L4" s="508" t="s">
        <v>52</v>
      </c>
      <c r="M4" s="506" t="s">
        <v>53</v>
      </c>
      <c r="N4" s="501"/>
      <c r="O4" s="502"/>
      <c r="P4" s="502"/>
      <c r="Q4" s="503"/>
      <c r="S4" s="504" t="s">
        <v>52</v>
      </c>
      <c r="T4" s="506" t="s">
        <v>53</v>
      </c>
      <c r="U4" s="501"/>
      <c r="V4" s="502"/>
      <c r="W4" s="502"/>
      <c r="X4" s="503"/>
      <c r="AC4" s="504" t="s">
        <v>52</v>
      </c>
      <c r="AD4" s="506" t="s">
        <v>53</v>
      </c>
      <c r="AE4" s="501"/>
      <c r="AF4" s="502"/>
      <c r="AG4" s="502"/>
      <c r="AH4" s="503"/>
      <c r="AJ4" s="504" t="s">
        <v>52</v>
      </c>
      <c r="AK4" s="506" t="s">
        <v>53</v>
      </c>
      <c r="AL4" s="501"/>
      <c r="AM4" s="502"/>
      <c r="AN4" s="502"/>
      <c r="AO4" s="503"/>
    </row>
    <row r="5" spans="1:41" ht="16.5" thickBot="1">
      <c r="A5" s="494"/>
      <c r="B5" s="496"/>
      <c r="C5" s="498"/>
      <c r="D5" s="470"/>
      <c r="E5" s="469"/>
      <c r="F5" s="470"/>
      <c r="G5" s="490"/>
      <c r="H5" s="488"/>
      <c r="J5" s="500"/>
      <c r="K5" s="499"/>
      <c r="L5" s="509"/>
      <c r="M5" s="507"/>
      <c r="N5" s="91">
        <v>1</v>
      </c>
      <c r="O5" s="92">
        <v>2</v>
      </c>
      <c r="P5" s="92">
        <v>3</v>
      </c>
      <c r="Q5" s="93">
        <v>5</v>
      </c>
      <c r="S5" s="505"/>
      <c r="T5" s="507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505"/>
      <c r="AD5" s="510"/>
      <c r="AE5" s="194">
        <v>1</v>
      </c>
      <c r="AF5" s="195">
        <v>2</v>
      </c>
      <c r="AG5" s="195">
        <v>3</v>
      </c>
      <c r="AH5" s="196">
        <v>5</v>
      </c>
      <c r="AJ5" s="505"/>
      <c r="AK5" s="510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500" t="s">
        <v>54</v>
      </c>
      <c r="K6" s="499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500"/>
      <c r="K7" s="499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9" t="e">
        <f>IFERROR(LEFT(F7,FIND(",",F7)-1),F7)</f>
        <v>#N/A</v>
      </c>
      <c r="K8" s="499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9"/>
      <c r="K9" s="499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9" t="e">
        <f>IFERROR(LEFT(F8,FIND(",",F8)-1),F8)</f>
        <v>#N/A</v>
      </c>
      <c r="K10" s="499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9"/>
      <c r="K11" s="499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9" t="e">
        <f>IFERROR(LEFT(F9,FIND(",",F9)-1),F9)</f>
        <v>#N/A</v>
      </c>
      <c r="K12" s="499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9"/>
      <c r="K13" s="499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9" t="e">
        <f>IFERROR(LEFT(F10,FIND(",",F10)-1),F10)</f>
        <v>#N/A</v>
      </c>
      <c r="K14" s="499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9"/>
      <c r="K15" s="499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9" t="e">
        <f>IFERROR(LEFT(F11,FIND(",",F11)-1),F11)</f>
        <v>#N/A</v>
      </c>
      <c r="K16" s="499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9"/>
      <c r="K17" s="499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БАРЛЕЕВ Иван Евгеньевич</v>
      </c>
      <c r="D18" s="270" t="str">
        <f>VLOOKUP(B18,пр.взв!B3:H101,3,FALSE)</f>
        <v>06.11.1999, КМС</v>
      </c>
      <c r="E18" s="271" t="str">
        <f>VLOOKUP(B18,пр.взв!B3:H22,4,FALSE)</f>
        <v>ЦФО</v>
      </c>
      <c r="F18" s="270" t="str">
        <f>VLOOKUP(B18,пр.взв!B3:H22,5,FALSE)</f>
        <v>Ярославская, Рыбинск, МО</v>
      </c>
      <c r="G18" s="270">
        <f>VLOOKUP(B18,пр.взв!B3:H22,6,FALSE)</f>
        <v>0</v>
      </c>
      <c r="H18" s="276" t="str">
        <f>VLOOKUP(B18,пр.взв!B3:H103,7,FALSE)</f>
        <v>Антропов И.С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10</v>
      </c>
      <c r="C19" s="270" t="e">
        <f>VLOOKUP(B19,пр.взв!B3:H22,2,FALSE)</f>
        <v>#N/A</v>
      </c>
      <c r="D19" s="270" t="e">
        <f>VLOOKUP(B19,пр.взв!B3:H103,3,FALSE)</f>
        <v>#N/A</v>
      </c>
      <c r="E19" s="271" t="e">
        <f>VLOOKUP(B19,пр.взв!B3:H22,4,FALSE)</f>
        <v>#N/A</v>
      </c>
      <c r="F19" s="270" t="e">
        <f>VLOOKUP(B19,пр.взв!B3:H22,5,FALSE)</f>
        <v>#N/A</v>
      </c>
      <c r="G19" s="270" t="e">
        <f>VLOOKUP(B19,пр.взв!B3:H22,6,FALSE)</f>
        <v>#N/A</v>
      </c>
      <c r="H19" s="276" t="e">
        <f>VLOOKUP(B19,пр.взв!B3:H105,7,FALSE)</f>
        <v>#N/A</v>
      </c>
    </row>
    <row r="20" spans="1:24" ht="24" customHeight="1">
      <c r="A20" s="281" t="s">
        <v>51</v>
      </c>
      <c r="B20" s="269">
        <f>пр.хода!Z31</f>
        <v>11</v>
      </c>
      <c r="C20" s="270" t="e">
        <f>VLOOKUP(B20,пр.взв!B3:H22,2,FALSE)</f>
        <v>#N/A</v>
      </c>
      <c r="D20" s="270" t="e">
        <f>VLOOKUP(B20,пр.взв!B3:H105,3,FALSE)</f>
        <v>#N/A</v>
      </c>
      <c r="E20" s="271" t="e">
        <f>VLOOKUP(B20,пр.взв!B3:H22,4,FALSE)</f>
        <v>#N/A</v>
      </c>
      <c r="F20" s="270" t="e">
        <f>VLOOKUP(B20,пр.взв!B3:H22,5,FALSE)</f>
        <v>#N/A</v>
      </c>
      <c r="G20" s="270" t="e">
        <f>VLOOKUP(B20,пр.взв!B3:H22,6,FALSE)</f>
        <v>#N/A</v>
      </c>
      <c r="H20" s="276" t="e">
        <f>VLOOKUP(B20,пр.взв!B3:H107,7,FALSE)</f>
        <v>#N/A</v>
      </c>
    </row>
    <row r="21" spans="1:24" ht="24" customHeight="1" thickBot="1">
      <c r="A21" s="282" t="s">
        <v>51</v>
      </c>
      <c r="B21" s="277">
        <f>пр.хода!Z32</f>
        <v>12</v>
      </c>
      <c r="C21" s="267" t="e">
        <f>VLOOKUP(B21,пр.взв!B3:H22,2,FALSE)</f>
        <v>#N/A</v>
      </c>
      <c r="D21" s="267" t="e">
        <f>VLOOKUP(B21,пр.взв!B3:H107,3,FALSE)</f>
        <v>#N/A</v>
      </c>
      <c r="E21" s="278" t="e">
        <f>VLOOKUP(B21,пр.взв!B3:H22,4,FALSE)</f>
        <v>#N/A</v>
      </c>
      <c r="F21" s="267" t="e">
        <f>VLOOKUP(B21,пр.взв!B3:H22,5,FALSE)</f>
        <v>#N/A</v>
      </c>
      <c r="G21" s="267" t="e">
        <f>VLOOKUP(B21,пр.взв!B3:H22,6,FALSE)</f>
        <v>#N/A</v>
      </c>
      <c r="H21" s="268" t="e">
        <f>VLOOKUP(B21,пр.взв!B3:H109,7,FALSE)</f>
        <v>#N/A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С.В.Пегасов</v>
      </c>
    </row>
    <row r="25" spans="1:24" ht="15">
      <c r="A25" s="63"/>
      <c r="B25" s="63"/>
      <c r="C25" s="64"/>
      <c r="D25" s="66"/>
      <c r="E25" s="66"/>
      <c r="F25" s="66"/>
      <c r="G25" s="84" t="str">
        <f>пр.хода!N38</f>
        <v>/г.Чебоксары/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М.Р. Шарифзянов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19" t="str">
        <f>пр.взв!B2</f>
        <v>Первенство России по самбо среди юниоров и юниорок до 24 лет  ЕКП № 1802, отбор на Кубок Европы 2022г.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44"/>
      <c r="M1" s="44"/>
      <c r="N1" s="44"/>
      <c r="O1" s="44"/>
      <c r="P1" s="44"/>
    </row>
    <row r="2" spans="1:19" ht="12.75" customHeight="1">
      <c r="A2" s="520" t="str">
        <f>пр.взв!A3</f>
        <v>17-21 января 2022года                          г.Кстово</v>
      </c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53 кг.</v>
      </c>
      <c r="G3" s="46"/>
      <c r="H3" s="46"/>
      <c r="I3" s="46"/>
      <c r="J3" s="46"/>
      <c r="K3" s="46"/>
      <c r="L3" s="46"/>
    </row>
    <row r="4" spans="1:19" ht="16.5" thickBot="1">
      <c r="A4" s="518" t="s">
        <v>0</v>
      </c>
      <c r="B4" s="518"/>
      <c r="C4" s="5"/>
    </row>
    <row r="5" spans="1:19" ht="12.75" customHeight="1" thickBot="1">
      <c r="A5" s="521">
        <v>1</v>
      </c>
      <c r="B5" s="522" t="str">
        <f>VLOOKUP(A5,пр.взв!B5:C22,2,FALSE)</f>
        <v>БАРЛЕЕВ Иван Евгеньевич</v>
      </c>
      <c r="C5" s="524" t="str">
        <f>VLOOKUP(A5,пр.взв!B5:F22,3,FALSE)</f>
        <v>06.11.1999, КМС</v>
      </c>
      <c r="D5" s="522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1"/>
      <c r="B6" s="523"/>
      <c r="C6" s="525"/>
      <c r="D6" s="523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1">
        <v>9</v>
      </c>
      <c r="B7" s="513" t="str">
        <f>VLOOKUP(A7,пр.взв!B7:C22,2,FALSE)</f>
        <v>НИКИТИН Никита Максимович</v>
      </c>
      <c r="C7" s="515" t="str">
        <f>VLOOKUP(A7,пр.взв!B5:F22,3,FALSE)</f>
        <v>19.07.2001, КМС</v>
      </c>
      <c r="D7" s="517" t="str">
        <f>VLOOKUP(A7,пр.взв!B1:G22,5,FALSE)</f>
        <v>Р.Татарстан, Казань, МС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2"/>
      <c r="B8" s="514"/>
      <c r="C8" s="516"/>
      <c r="D8" s="514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1">
        <v>5</v>
      </c>
      <c r="B9" s="522" t="str">
        <f>VLOOKUP(A9,пр.взв!B9:C22,2,FALSE)</f>
        <v>ХАЧАТУРЯН  Артуш  Ованесович</v>
      </c>
      <c r="C9" s="524" t="str">
        <f>VLOOKUP(A9,пр.взв!B5:E22,3,FALSE)</f>
        <v>04.04.2003, МС</v>
      </c>
      <c r="D9" s="522" t="str">
        <f>VLOOKUP(A9,пр.взв!B3:G22,5,FALSE)</f>
        <v>Краснодарский, Армавир, ВС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1"/>
      <c r="B10" s="523"/>
      <c r="C10" s="525"/>
      <c r="D10" s="523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1">
        <v>13</v>
      </c>
      <c r="B11" s="513" t="e">
        <f>VLOOKUP(A11,пр.взв!B5:C22,2,FALSE)</f>
        <v>#N/A</v>
      </c>
      <c r="C11" s="515" t="e">
        <f>VLOOKUP(A11,пр.взв!B5:E22,3,FALSE)</f>
        <v>#N/A</v>
      </c>
      <c r="D11" s="517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2"/>
      <c r="B12" s="514"/>
      <c r="C12" s="516"/>
      <c r="D12" s="514"/>
      <c r="E12" s="17"/>
      <c r="F12" s="526"/>
      <c r="G12" s="526"/>
      <c r="H12" s="25"/>
      <c r="I12" s="19"/>
      <c r="J12" s="13"/>
      <c r="K12" s="13"/>
      <c r="L12" s="13"/>
    </row>
    <row r="13" spans="1:19" ht="12.75" customHeight="1" thickBot="1">
      <c r="A13" s="521">
        <v>3</v>
      </c>
      <c r="B13" s="522" t="str">
        <f>VLOOKUP(A13,пр.взв!B5:C22,2,FALSE)</f>
        <v>СТАРИКОВ Урсул Рустамович</v>
      </c>
      <c r="C13" s="524" t="str">
        <f>VLOOKUP(A13,пр.взв!B5:E22,3,FALSE)</f>
        <v>26.03.2000, МС</v>
      </c>
      <c r="D13" s="522" t="str">
        <f>VLOOKUP(A13,пр.взв!B7:G22,5,FALSE)</f>
        <v>Р.Алтай, Горно-Алтайск, ПР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1"/>
      <c r="B14" s="523"/>
      <c r="C14" s="525"/>
      <c r="D14" s="523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1">
        <v>11</v>
      </c>
      <c r="B15" s="513" t="e">
        <f>VLOOKUP(A15,пр.взв!B15:C22,2,FALSE)</f>
        <v>#N/A</v>
      </c>
      <c r="C15" s="515" t="e">
        <f>VLOOKUP(A15,пр.взв!B5:E22,3,FALSE)</f>
        <v>#N/A</v>
      </c>
      <c r="D15" s="517" t="e">
        <f>VLOOKUP(A15,пр.взв!B9:G22,5,FALSE)</f>
        <v>#N/A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2"/>
      <c r="B16" s="514"/>
      <c r="C16" s="516"/>
      <c r="D16" s="514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1">
        <v>7</v>
      </c>
      <c r="B17" s="522" t="str">
        <f>VLOOKUP(A17,пр.взв!B9:C22,2,FALSE)</f>
        <v xml:space="preserve">ТРЕТЬЯКОВ  Никита  Дмитриевич </v>
      </c>
      <c r="C17" s="524" t="str">
        <f>VLOOKUP(A17,пр.взв!B5:E22,3,FALSE)</f>
        <v>24.05.2000, МС</v>
      </c>
      <c r="D17" s="522" t="str">
        <f>VLOOKUP(A17,пр.взв!B11:G22,5,FALSE)</f>
        <v>Р.Башкортостан ,Октябрьский, МО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1"/>
      <c r="B18" s="523"/>
      <c r="C18" s="525"/>
      <c r="D18" s="523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1">
        <v>15</v>
      </c>
      <c r="B19" s="513" t="e">
        <f>VLOOKUP(A19,пр.взв!B19:C22,2,FALSE)</f>
        <v>#N/A</v>
      </c>
      <c r="C19" s="515" t="e">
        <f>VLOOKUP(A19,пр.взв!B5:E22,3,FALSE)</f>
        <v>#N/A</v>
      </c>
      <c r="D19" s="517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2"/>
      <c r="B20" s="514"/>
      <c r="C20" s="516"/>
      <c r="D20" s="514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1">
        <v>2</v>
      </c>
      <c r="B22" s="522" t="str">
        <f>VLOOKUP(A22,пр.взв!B7:E22,2,FALSE)</f>
        <v>КРИВОНОГОВ Никита Эдуардович</v>
      </c>
      <c r="C22" s="524" t="str">
        <f>VLOOKUP(A22,пр.взв!B7:E22,3,FALSE)</f>
        <v>21.09.2002, КМС</v>
      </c>
      <c r="D22" s="522" t="str">
        <f>пр.взв!F9</f>
        <v>Р.Алтай, Горно-Алтайск, ПР</v>
      </c>
      <c r="E22" s="12"/>
      <c r="F22" s="13"/>
      <c r="G22" s="13"/>
      <c r="H22" s="13"/>
      <c r="I22" s="13"/>
      <c r="J22" s="4"/>
      <c r="K22" s="16"/>
    </row>
    <row r="23" spans="1:13" ht="15.75">
      <c r="A23" s="511"/>
      <c r="B23" s="523"/>
      <c r="C23" s="525"/>
      <c r="D23" s="517"/>
      <c r="E23" s="88"/>
      <c r="F23" s="15"/>
      <c r="G23" s="15"/>
      <c r="H23" s="13"/>
      <c r="I23" s="13"/>
      <c r="J23" s="4"/>
      <c r="K23" s="31"/>
    </row>
    <row r="24" spans="1:13" ht="16.5" thickBot="1">
      <c r="A24" s="511">
        <v>10</v>
      </c>
      <c r="B24" s="513" t="e">
        <f>VLOOKUP(A24,пр.взв!B7:E22,2,FALSE)</f>
        <v>#N/A</v>
      </c>
      <c r="C24" s="515" t="e">
        <f>VLOOKUP(A24,пр.взв!B7:E22,3,FALSE)</f>
        <v>#N/A</v>
      </c>
      <c r="D24" s="517" t="e">
        <f>VLOOKUP(A24,пр.взв!B8:G22,5,FALSE)</f>
        <v>#N/A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2"/>
      <c r="B25" s="514"/>
      <c r="C25" s="516"/>
      <c r="D25" s="527"/>
      <c r="E25" s="17"/>
      <c r="F25" s="21"/>
      <c r="G25" s="19"/>
      <c r="H25" s="13"/>
      <c r="I25" s="13"/>
      <c r="J25" s="4"/>
      <c r="K25" s="31"/>
    </row>
    <row r="26" spans="1:13" ht="16.5" thickBot="1">
      <c r="A26" s="521">
        <v>6</v>
      </c>
      <c r="B26" s="522" t="str">
        <f>VLOOKUP(A26,пр.взв!B7:E22,2,FALSE)</f>
        <v xml:space="preserve">МЕЛИКЯН  Юрий  Владимирович </v>
      </c>
      <c r="C26" s="524" t="str">
        <f>VLOOKUP(A26,пр.взв!B7:E22,3,FALSE)</f>
        <v>12.06.2001, МС</v>
      </c>
      <c r="D26" s="522" t="str">
        <f>VLOOKUP(A26,пр.взв!B2:G22,5,FALSE)</f>
        <v>Краснодарский, Армавир, Д</v>
      </c>
      <c r="E26" s="12"/>
      <c r="F26" s="21"/>
      <c r="G26" s="16"/>
      <c r="H26" s="26"/>
      <c r="I26" s="13"/>
      <c r="J26" s="4"/>
      <c r="K26" s="31"/>
    </row>
    <row r="27" spans="1:13" ht="15.75">
      <c r="A27" s="511"/>
      <c r="B27" s="523"/>
      <c r="C27" s="525"/>
      <c r="D27" s="517"/>
      <c r="E27" s="88"/>
      <c r="F27" s="24"/>
      <c r="G27" s="15"/>
      <c r="H27" s="25"/>
      <c r="I27" s="13"/>
      <c r="J27" s="4"/>
      <c r="K27" s="31"/>
    </row>
    <row r="28" spans="1:13" ht="16.5" thickBot="1">
      <c r="A28" s="511">
        <v>14</v>
      </c>
      <c r="B28" s="513" t="e">
        <f>VLOOKUP(A28,пр.взв!B7:E22,2,FALSE)</f>
        <v>#N/A</v>
      </c>
      <c r="C28" s="515" t="e">
        <f>VLOOKUP(A28,пр.взв!B7:E22,3,FALSE)</f>
        <v>#N/A</v>
      </c>
      <c r="D28" s="517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2"/>
      <c r="B29" s="514"/>
      <c r="C29" s="516"/>
      <c r="D29" s="527"/>
      <c r="E29" s="17"/>
      <c r="F29" s="526"/>
      <c r="G29" s="526"/>
      <c r="H29" s="25"/>
      <c r="I29" s="19"/>
      <c r="J29" s="3"/>
      <c r="K29" s="30"/>
    </row>
    <row r="30" spans="1:13" ht="16.5" thickBot="1">
      <c r="A30" s="521">
        <v>4</v>
      </c>
      <c r="B30" s="522" t="str">
        <f>VLOOKUP(A30,пр.взв!B7:E22,2,FALSE)</f>
        <v>ДАНИЛОВ Данил Юрьевич</v>
      </c>
      <c r="C30" s="524" t="str">
        <f>VLOOKUP(A30,пр.взв!B7:E22,3,FALSE)</f>
        <v>12.02.2003, КМС</v>
      </c>
      <c r="D30" s="522" t="str">
        <f>VLOOKUP(A30,пр.взв!B6:G22,5,FALSE)</f>
        <v>Чувашская, Чебоксары, МС</v>
      </c>
      <c r="E30" s="12"/>
      <c r="F30" s="15"/>
      <c r="G30" s="15"/>
      <c r="H30" s="25"/>
      <c r="I30" s="16"/>
    </row>
    <row r="31" spans="1:13" ht="15.75">
      <c r="A31" s="511"/>
      <c r="B31" s="523"/>
      <c r="C31" s="525"/>
      <c r="D31" s="517"/>
      <c r="E31" s="88"/>
      <c r="F31" s="15"/>
      <c r="G31" s="15"/>
      <c r="H31" s="25"/>
      <c r="I31" s="13"/>
    </row>
    <row r="32" spans="1:13" ht="16.5" thickBot="1">
      <c r="A32" s="511">
        <v>12</v>
      </c>
      <c r="B32" s="513" t="e">
        <f>VLOOKUP(A32,пр.взв!B7:E22,2,FALSE)</f>
        <v>#N/A</v>
      </c>
      <c r="C32" s="515" t="e">
        <f>VLOOKUP(A32,пр.взв!B7:E22,3,FALSE)</f>
        <v>#N/A</v>
      </c>
      <c r="D32" s="517" t="e">
        <f>VLOOKUP(A32,пр.взв!B8:G22,5,FALSE)</f>
        <v>#N/A</v>
      </c>
      <c r="E32" s="89"/>
      <c r="F32" s="20"/>
      <c r="G32" s="15"/>
      <c r="H32" s="25"/>
      <c r="I32" s="13"/>
    </row>
    <row r="33" spans="1:13" ht="16.5" thickBot="1">
      <c r="A33" s="512"/>
      <c r="B33" s="514"/>
      <c r="C33" s="516"/>
      <c r="D33" s="527"/>
      <c r="E33" s="17"/>
      <c r="F33" s="21"/>
      <c r="G33" s="19"/>
      <c r="H33" s="27"/>
      <c r="I33" s="13"/>
    </row>
    <row r="34" spans="1:13" ht="16.5" thickBot="1">
      <c r="A34" s="521">
        <v>8</v>
      </c>
      <c r="B34" s="522" t="str">
        <f>VLOOKUP(A34,пр.взв!B7:E22,2,FALSE)</f>
        <v>САФАРЯН Михаил  Арменакович</v>
      </c>
      <c r="C34" s="524" t="str">
        <f>VLOOKUP(A34,пр.взв!B7:E22,3,FALSE)</f>
        <v>13.10.2003, КМС</v>
      </c>
      <c r="D34" s="522" t="str">
        <f>VLOOKUP(A34,пр.взв!B10:G22,5,FALSE)</f>
        <v>Краснодарский, Армавир, ВС</v>
      </c>
      <c r="E34" s="12"/>
      <c r="F34" s="22"/>
      <c r="G34" s="16"/>
      <c r="H34" s="10"/>
      <c r="I34" s="10"/>
    </row>
    <row r="35" spans="1:13" ht="15.75">
      <c r="A35" s="511"/>
      <c r="B35" s="523"/>
      <c r="C35" s="525"/>
      <c r="D35" s="517"/>
      <c r="E35" s="88"/>
      <c r="F35" s="23"/>
      <c r="G35" s="17"/>
      <c r="H35" s="18"/>
      <c r="I35" s="18"/>
    </row>
    <row r="36" spans="1:13" ht="16.5" thickBot="1">
      <c r="A36" s="511">
        <v>16</v>
      </c>
      <c r="B36" s="513" t="e">
        <f>VLOOKUP(A36,пр.взв!B7:E22,2,FALSE)</f>
        <v>#N/A</v>
      </c>
      <c r="C36" s="515" t="e">
        <f>VLOOKUP(A36,пр.взв!B7:E22,3,FALSE)</f>
        <v>#N/A</v>
      </c>
      <c r="D36" s="517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12"/>
      <c r="B37" s="514"/>
      <c r="C37" s="516"/>
      <c r="D37" s="527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8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8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9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9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30" t="str">
        <f>пр.взв!B2</f>
        <v>Первенство России по самбо среди юниоров и юниорок до 24 лет  ЕКП № 1802, отбор на Кубок Европы 2022г.</v>
      </c>
      <c r="B1" s="531"/>
      <c r="C1" s="531"/>
      <c r="D1" s="531"/>
      <c r="E1" s="531"/>
      <c r="F1" s="531"/>
      <c r="G1" s="531"/>
      <c r="H1" s="532"/>
    </row>
    <row r="2" spans="1:10">
      <c r="A2" s="533" t="str">
        <f>пр.взв!A3</f>
        <v>17-21 января 2022года                          г.Кстово</v>
      </c>
      <c r="B2" s="533"/>
      <c r="C2" s="533"/>
      <c r="D2" s="533"/>
      <c r="E2" s="533"/>
      <c r="F2" s="533"/>
      <c r="G2" s="533"/>
      <c r="H2" s="533"/>
    </row>
    <row r="3" spans="1:10" ht="18.75" thickBot="1">
      <c r="A3" s="534" t="s">
        <v>27</v>
      </c>
      <c r="B3" s="534"/>
      <c r="C3" s="534"/>
      <c r="D3" s="534"/>
      <c r="E3" s="534"/>
      <c r="F3" s="534"/>
      <c r="G3" s="534"/>
      <c r="H3" s="534"/>
    </row>
    <row r="4" spans="1:10" ht="18.75" thickBot="1">
      <c r="B4" s="70"/>
      <c r="C4" s="71"/>
      <c r="D4" s="535" t="str">
        <f>HYPERLINK(пр.взв!D4)</f>
        <v>В.к. 53 кг.</v>
      </c>
      <c r="E4" s="536"/>
      <c r="F4" s="537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38" t="s">
        <v>28</v>
      </c>
      <c r="B6" s="547" t="e">
        <f>VLOOKUP(J6,пр.взв!B7:G22,2,FALSE)</f>
        <v>#N/A</v>
      </c>
      <c r="C6" s="547"/>
      <c r="D6" s="547"/>
      <c r="E6" s="547"/>
      <c r="F6" s="547"/>
      <c r="G6" s="547"/>
      <c r="H6" s="541" t="e">
        <f>VLOOKUP(J6,пр.взв!B7:G22,3,FALSE)</f>
        <v>#N/A</v>
      </c>
      <c r="I6" s="71"/>
      <c r="J6" s="69">
        <f>пр.хода!H8</f>
        <v>0</v>
      </c>
    </row>
    <row r="7" spans="1:10" ht="18">
      <c r="A7" s="539"/>
      <c r="B7" s="548"/>
      <c r="C7" s="548"/>
      <c r="D7" s="548"/>
      <c r="E7" s="548"/>
      <c r="F7" s="548"/>
      <c r="G7" s="548"/>
      <c r="H7" s="542"/>
      <c r="I7" s="71"/>
      <c r="J7" s="69"/>
    </row>
    <row r="8" spans="1:10" ht="18">
      <c r="A8" s="539"/>
      <c r="B8" s="543" t="e">
        <f>VLOOKUP(J6,пр.взв!B7:G22,4,FALSE)</f>
        <v>#N/A</v>
      </c>
      <c r="C8" s="543"/>
      <c r="D8" s="543" t="e">
        <f>VLOOKUP(J6,пр.взв!B7:G22,5,FALSE)</f>
        <v>#N/A</v>
      </c>
      <c r="E8" s="543"/>
      <c r="F8" s="543"/>
      <c r="G8" s="543"/>
      <c r="H8" s="545"/>
      <c r="I8" s="71"/>
      <c r="J8" s="69"/>
    </row>
    <row r="9" spans="1:10" ht="18.75" thickBot="1">
      <c r="A9" s="540"/>
      <c r="B9" s="544"/>
      <c r="C9" s="544"/>
      <c r="D9" s="544"/>
      <c r="E9" s="544"/>
      <c r="F9" s="544"/>
      <c r="G9" s="544"/>
      <c r="H9" s="546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6" t="s">
        <v>29</v>
      </c>
      <c r="B11" s="547" t="e">
        <f>VLOOKUP(J11,пр.взв!B2:G22,2,FALSE)</f>
        <v>#N/A</v>
      </c>
      <c r="C11" s="547"/>
      <c r="D11" s="547"/>
      <c r="E11" s="547"/>
      <c r="F11" s="547"/>
      <c r="G11" s="547"/>
      <c r="H11" s="541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57"/>
      <c r="B12" s="548"/>
      <c r="C12" s="548"/>
      <c r="D12" s="548"/>
      <c r="E12" s="548"/>
      <c r="F12" s="548"/>
      <c r="G12" s="548"/>
      <c r="H12" s="542"/>
      <c r="I12" s="71"/>
      <c r="J12" s="69"/>
    </row>
    <row r="13" spans="1:10" ht="18">
      <c r="A13" s="557"/>
      <c r="B13" s="543" t="e">
        <f>VLOOKUP(J11,пр.взв!B2:G22,4,FALSE)</f>
        <v>#N/A</v>
      </c>
      <c r="C13" s="543"/>
      <c r="D13" s="543" t="e">
        <f>VLOOKUP(J11,пр.взв!B2:G22,5,FALSE)</f>
        <v>#N/A</v>
      </c>
      <c r="E13" s="543"/>
      <c r="F13" s="543"/>
      <c r="G13" s="543"/>
      <c r="H13" s="545"/>
      <c r="I13" s="71"/>
      <c r="J13" s="69"/>
    </row>
    <row r="14" spans="1:10" ht="18.75" thickBot="1">
      <c r="A14" s="558"/>
      <c r="B14" s="544"/>
      <c r="C14" s="544"/>
      <c r="D14" s="544"/>
      <c r="E14" s="544"/>
      <c r="F14" s="544"/>
      <c r="G14" s="544"/>
      <c r="H14" s="546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53" t="s">
        <v>30</v>
      </c>
      <c r="B16" s="547" t="e">
        <f>VLOOKUP(J16,пр.взв!B4:G33,2,FALSE)</f>
        <v>#N/A</v>
      </c>
      <c r="C16" s="547"/>
      <c r="D16" s="547"/>
      <c r="E16" s="547"/>
      <c r="F16" s="547"/>
      <c r="G16" s="547"/>
      <c r="H16" s="541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54"/>
      <c r="B17" s="548"/>
      <c r="C17" s="548"/>
      <c r="D17" s="548"/>
      <c r="E17" s="548"/>
      <c r="F17" s="548"/>
      <c r="G17" s="548"/>
      <c r="H17" s="542"/>
      <c r="I17" s="71"/>
      <c r="J17" s="69"/>
    </row>
    <row r="18" spans="1:10" ht="18">
      <c r="A18" s="554"/>
      <c r="B18" s="543" t="e">
        <f>VLOOKUP(J16,пр.взв!B7:G22,4,FALSE)</f>
        <v>#N/A</v>
      </c>
      <c r="C18" s="543"/>
      <c r="D18" s="543" t="e">
        <f>VLOOKUP(J16,пр.взв!B7:G22,5,FALSE)</f>
        <v>#N/A</v>
      </c>
      <c r="E18" s="543"/>
      <c r="F18" s="543"/>
      <c r="G18" s="543"/>
      <c r="H18" s="545"/>
      <c r="I18" s="71"/>
      <c r="J18" s="69"/>
    </row>
    <row r="19" spans="1:10" ht="18.75" thickBot="1">
      <c r="A19" s="555"/>
      <c r="B19" s="544"/>
      <c r="C19" s="544"/>
      <c r="D19" s="544"/>
      <c r="E19" s="544"/>
      <c r="F19" s="544"/>
      <c r="G19" s="544"/>
      <c r="H19" s="546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53" t="s">
        <v>30</v>
      </c>
      <c r="B21" s="547" t="e">
        <f>VLOOKUP(J21,пр.взв!B2:G22,2,FALSE)</f>
        <v>#N/A</v>
      </c>
      <c r="C21" s="547"/>
      <c r="D21" s="547"/>
      <c r="E21" s="547"/>
      <c r="F21" s="547"/>
      <c r="G21" s="547"/>
      <c r="H21" s="541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54"/>
      <c r="B22" s="548"/>
      <c r="C22" s="548"/>
      <c r="D22" s="548"/>
      <c r="E22" s="548"/>
      <c r="F22" s="548"/>
      <c r="G22" s="548"/>
      <c r="H22" s="542"/>
      <c r="I22" s="71"/>
      <c r="J22" s="69"/>
    </row>
    <row r="23" spans="1:10" ht="18">
      <c r="A23" s="554"/>
      <c r="B23" s="543" t="e">
        <f>VLOOKUP(J21,пр.взв!B6:G22,4,FALSE)</f>
        <v>#N/A</v>
      </c>
      <c r="C23" s="543"/>
      <c r="D23" s="543" t="e">
        <f>VLOOKUP(J21,пр.взв!B6:G22,5,FALSE)</f>
        <v>#N/A</v>
      </c>
      <c r="E23" s="543"/>
      <c r="F23" s="543"/>
      <c r="G23" s="543"/>
      <c r="H23" s="545"/>
      <c r="I23" s="71"/>
    </row>
    <row r="24" spans="1:10" ht="18.75" thickBot="1">
      <c r="A24" s="555"/>
      <c r="B24" s="544"/>
      <c r="C24" s="544"/>
      <c r="D24" s="544"/>
      <c r="E24" s="544"/>
      <c r="F24" s="544"/>
      <c r="G24" s="544"/>
      <c r="H24" s="546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49" t="e">
        <f>VLOOKUP(J28,пр.взв!B7:H22,7,FALSE)</f>
        <v>#N/A</v>
      </c>
      <c r="B28" s="550"/>
      <c r="C28" s="550"/>
      <c r="D28" s="550"/>
      <c r="E28" s="550"/>
      <c r="F28" s="550"/>
      <c r="G28" s="550"/>
      <c r="H28" s="551"/>
      <c r="J28">
        <f>пр.хода!H8</f>
        <v>0</v>
      </c>
    </row>
    <row r="29" spans="1:10" ht="13.5" thickBot="1">
      <c r="A29" s="552"/>
      <c r="B29" s="544"/>
      <c r="C29" s="544"/>
      <c r="D29" s="544"/>
      <c r="E29" s="544"/>
      <c r="F29" s="544"/>
      <c r="G29" s="544"/>
      <c r="H29" s="546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2022-01-17T19:01:18Z</cp:lastPrinted>
  <dcterms:created xsi:type="dcterms:W3CDTF">1996-10-08T23:32:33Z</dcterms:created>
  <dcterms:modified xsi:type="dcterms:W3CDTF">2022-01-18T07:10:48Z</dcterms:modified>
</cp:coreProperties>
</file>